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timberlandlibrary-my.sharepoint.com/personal/rwilliams_trl_org/Documents/Data Files/Budget Library County Details/"/>
    </mc:Choice>
  </mc:AlternateContent>
  <xr:revisionPtr revIDLastSave="1701" documentId="8_{57233FB5-7B53-4C82-B869-12FC2CDB881D}" xr6:coauthVersionLast="47" xr6:coauthVersionMax="47" xr10:uidLastSave="{4EE18319-1AA5-4836-A2D8-67092D564C93}"/>
  <bookViews>
    <workbookView xWindow="-110" yWindow="-110" windowWidth="38620" windowHeight="21100" activeTab="1" xr2:uid="{00000000-000D-0000-FFFF-FFFF00000000}"/>
  </bookViews>
  <sheets>
    <sheet name="Definitions" sheetId="2" r:id="rId1"/>
    <sheet name="County Detail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4" i="1" l="1"/>
  <c r="F374" i="1"/>
  <c r="I373" i="1"/>
  <c r="H373" i="1"/>
  <c r="G373" i="1"/>
  <c r="F373" i="1"/>
  <c r="I372" i="1"/>
  <c r="H372" i="1"/>
  <c r="G372" i="1"/>
  <c r="F372" i="1"/>
  <c r="E374" i="1"/>
  <c r="E373" i="1"/>
  <c r="E372" i="1"/>
  <c r="I370" i="1"/>
  <c r="H370" i="1"/>
  <c r="H374" i="1" s="1"/>
  <c r="G370" i="1"/>
  <c r="F370" i="1"/>
  <c r="E370" i="1"/>
  <c r="I303" i="1"/>
  <c r="G303" i="1"/>
  <c r="F303" i="1"/>
  <c r="I302" i="1"/>
  <c r="G302" i="1"/>
  <c r="F302" i="1"/>
  <c r="E303" i="1"/>
  <c r="E302" i="1"/>
  <c r="I285" i="1"/>
  <c r="H285" i="1"/>
  <c r="G285" i="1"/>
  <c r="F285" i="1"/>
  <c r="I284" i="1"/>
  <c r="H284" i="1"/>
  <c r="G284" i="1"/>
  <c r="F284" i="1"/>
  <c r="E285" i="1"/>
  <c r="E284" i="1"/>
  <c r="I282" i="1"/>
  <c r="H282" i="1"/>
  <c r="G282" i="1"/>
  <c r="F282" i="1"/>
  <c r="E282" i="1"/>
  <c r="I229" i="1"/>
  <c r="G229" i="1"/>
  <c r="F229" i="1"/>
  <c r="I228" i="1"/>
  <c r="G228" i="1"/>
  <c r="F228" i="1"/>
  <c r="E229" i="1"/>
  <c r="E228" i="1"/>
  <c r="I215" i="1"/>
  <c r="H215" i="1"/>
  <c r="G215" i="1"/>
  <c r="F215" i="1"/>
  <c r="I214" i="1"/>
  <c r="H214" i="1"/>
  <c r="G214" i="1"/>
  <c r="F214" i="1"/>
  <c r="E215" i="1"/>
  <c r="E214" i="1"/>
  <c r="I212" i="1"/>
  <c r="H212" i="1"/>
  <c r="G212" i="1"/>
  <c r="F212" i="1"/>
  <c r="E212" i="1"/>
  <c r="I165" i="1"/>
  <c r="G165" i="1"/>
  <c r="F165" i="1"/>
  <c r="I164" i="1"/>
  <c r="G164" i="1"/>
  <c r="F164" i="1"/>
  <c r="E165" i="1"/>
  <c r="E164" i="1"/>
  <c r="I141" i="1"/>
  <c r="H141" i="1"/>
  <c r="G141" i="1"/>
  <c r="F141" i="1"/>
  <c r="I140" i="1"/>
  <c r="H140" i="1"/>
  <c r="G140" i="1"/>
  <c r="F140" i="1"/>
  <c r="E141" i="1"/>
  <c r="E140" i="1"/>
  <c r="I138" i="1"/>
  <c r="H138" i="1"/>
  <c r="G138" i="1"/>
  <c r="F138" i="1"/>
  <c r="E138" i="1"/>
  <c r="I69" i="1"/>
  <c r="G69" i="1"/>
  <c r="F69" i="1"/>
  <c r="I68" i="1"/>
  <c r="G68" i="1"/>
  <c r="F68" i="1"/>
  <c r="E69" i="1"/>
  <c r="E68" i="1"/>
  <c r="I45" i="1"/>
  <c r="H45" i="1"/>
  <c r="G45" i="1"/>
  <c r="F45" i="1"/>
  <c r="E45" i="1"/>
  <c r="I44" i="1"/>
  <c r="H44" i="1"/>
  <c r="G44" i="1"/>
  <c r="F44" i="1"/>
  <c r="E44" i="1"/>
  <c r="I42" i="1"/>
  <c r="H42" i="1"/>
  <c r="G42" i="1"/>
  <c r="F42" i="1"/>
  <c r="E42" i="1"/>
  <c r="I416" i="1"/>
  <c r="I413" i="1"/>
  <c r="I410" i="1"/>
  <c r="I407" i="1"/>
  <c r="I404" i="1"/>
  <c r="I401" i="1"/>
  <c r="I398" i="1"/>
  <c r="H416" i="1"/>
  <c r="H413" i="1"/>
  <c r="H410" i="1"/>
  <c r="H407" i="1"/>
  <c r="H404" i="1"/>
  <c r="H401" i="1"/>
  <c r="H398" i="1"/>
  <c r="I320" i="1"/>
  <c r="I317" i="1"/>
  <c r="I314" i="1"/>
  <c r="I311" i="1"/>
  <c r="I308" i="1"/>
  <c r="H320" i="1"/>
  <c r="H317" i="1"/>
  <c r="H314" i="1"/>
  <c r="H311" i="1"/>
  <c r="H308" i="1"/>
  <c r="I240" i="1"/>
  <c r="I237" i="1"/>
  <c r="I234" i="1"/>
  <c r="H240" i="1"/>
  <c r="H237" i="1"/>
  <c r="H234" i="1"/>
  <c r="I185" i="1"/>
  <c r="I182" i="1"/>
  <c r="I179" i="1"/>
  <c r="I176" i="1"/>
  <c r="I173" i="1"/>
  <c r="I170" i="1"/>
  <c r="H185" i="1"/>
  <c r="H182" i="1"/>
  <c r="H179" i="1"/>
  <c r="H176" i="1"/>
  <c r="H173" i="1"/>
  <c r="H170" i="1"/>
  <c r="I95" i="1"/>
  <c r="H95" i="1"/>
  <c r="I92" i="1"/>
  <c r="H92" i="1"/>
  <c r="I89" i="1"/>
  <c r="H89" i="1"/>
  <c r="I86" i="1"/>
  <c r="H86" i="1"/>
  <c r="I83" i="1"/>
  <c r="H83" i="1"/>
  <c r="I80" i="1"/>
  <c r="H80" i="1"/>
  <c r="I77" i="1"/>
  <c r="H77" i="1"/>
  <c r="I74" i="1"/>
  <c r="H74" i="1"/>
  <c r="I255" i="1"/>
  <c r="I337" i="1"/>
  <c r="H337" i="1"/>
  <c r="G337" i="1"/>
  <c r="F337" i="1"/>
  <c r="G255" i="1"/>
  <c r="F255" i="1"/>
  <c r="H255" i="1"/>
  <c r="I197" i="1"/>
  <c r="H197" i="1"/>
  <c r="G197" i="1"/>
  <c r="F197" i="1"/>
  <c r="I111" i="1"/>
  <c r="H111" i="1"/>
  <c r="G111" i="1"/>
  <c r="F111" i="1"/>
  <c r="I12" i="1"/>
  <c r="H12" i="1"/>
  <c r="G12" i="1"/>
  <c r="F12" i="1"/>
  <c r="E12" i="1"/>
  <c r="I418" i="1"/>
  <c r="H418" i="1"/>
  <c r="G420" i="1"/>
  <c r="G418" i="1"/>
  <c r="F420" i="1"/>
  <c r="F418" i="1"/>
  <c r="H390" i="1"/>
  <c r="H389" i="1"/>
  <c r="H388" i="1"/>
  <c r="H387" i="1"/>
  <c r="H386" i="1"/>
  <c r="H385" i="1"/>
  <c r="H384" i="1"/>
  <c r="H383" i="1"/>
  <c r="H382" i="1"/>
  <c r="H381" i="1"/>
  <c r="H379" i="1"/>
  <c r="H378" i="1"/>
  <c r="H377" i="1"/>
  <c r="H367" i="1"/>
  <c r="G367" i="1"/>
  <c r="F367" i="1"/>
  <c r="E367" i="1"/>
  <c r="H364" i="1"/>
  <c r="G364" i="1"/>
  <c r="F364" i="1"/>
  <c r="E364" i="1"/>
  <c r="H361" i="1"/>
  <c r="G361" i="1"/>
  <c r="F361" i="1"/>
  <c r="E361" i="1"/>
  <c r="H358" i="1"/>
  <c r="G358" i="1"/>
  <c r="F358" i="1"/>
  <c r="E358" i="1"/>
  <c r="H355" i="1"/>
  <c r="G355" i="1"/>
  <c r="F355" i="1"/>
  <c r="E355" i="1"/>
  <c r="H352" i="1"/>
  <c r="G352" i="1"/>
  <c r="F352" i="1"/>
  <c r="E352" i="1"/>
  <c r="H349" i="1"/>
  <c r="G349" i="1"/>
  <c r="F349" i="1"/>
  <c r="E349" i="1"/>
  <c r="H346" i="1"/>
  <c r="G346" i="1"/>
  <c r="F346" i="1"/>
  <c r="E346" i="1"/>
  <c r="H343" i="1"/>
  <c r="G343" i="1"/>
  <c r="F343" i="1"/>
  <c r="E343" i="1"/>
  <c r="H298" i="1"/>
  <c r="H297" i="1"/>
  <c r="H296" i="1"/>
  <c r="H295" i="1"/>
  <c r="H294" i="1"/>
  <c r="H293" i="1"/>
  <c r="H292" i="1"/>
  <c r="H291" i="1"/>
  <c r="H290" i="1"/>
  <c r="H303" i="1" s="1"/>
  <c r="H289" i="1"/>
  <c r="H302" i="1" s="1"/>
  <c r="H279" i="1"/>
  <c r="G279" i="1"/>
  <c r="F279" i="1"/>
  <c r="E279" i="1"/>
  <c r="H276" i="1"/>
  <c r="G276" i="1"/>
  <c r="F276" i="1"/>
  <c r="E276" i="1"/>
  <c r="H273" i="1"/>
  <c r="G273" i="1"/>
  <c r="F273" i="1"/>
  <c r="E273" i="1"/>
  <c r="H270" i="1"/>
  <c r="G270" i="1"/>
  <c r="F270" i="1"/>
  <c r="E270" i="1"/>
  <c r="H267" i="1"/>
  <c r="G267" i="1"/>
  <c r="F267" i="1"/>
  <c r="E267" i="1"/>
  <c r="H264" i="1"/>
  <c r="G264" i="1"/>
  <c r="F264" i="1"/>
  <c r="E264" i="1"/>
  <c r="H261" i="1"/>
  <c r="G261" i="1"/>
  <c r="F261" i="1"/>
  <c r="E261" i="1"/>
  <c r="H224" i="1"/>
  <c r="H223" i="1"/>
  <c r="H222" i="1"/>
  <c r="H221" i="1"/>
  <c r="H220" i="1"/>
  <c r="H229" i="1" s="1"/>
  <c r="H219" i="1"/>
  <c r="H228" i="1" s="1"/>
  <c r="H209" i="1"/>
  <c r="G209" i="1"/>
  <c r="F209" i="1"/>
  <c r="E209" i="1"/>
  <c r="H206" i="1"/>
  <c r="G206" i="1"/>
  <c r="F206" i="1"/>
  <c r="E206" i="1"/>
  <c r="H203" i="1"/>
  <c r="G203" i="1"/>
  <c r="F203" i="1"/>
  <c r="E203" i="1"/>
  <c r="H160" i="1"/>
  <c r="H158" i="1"/>
  <c r="H157" i="1"/>
  <c r="H156" i="1"/>
  <c r="H155" i="1"/>
  <c r="H154" i="1"/>
  <c r="H153" i="1"/>
  <c r="H148" i="1"/>
  <c r="H147" i="1"/>
  <c r="H146" i="1"/>
  <c r="H145" i="1"/>
  <c r="H135" i="1"/>
  <c r="G135" i="1"/>
  <c r="F135" i="1"/>
  <c r="E135" i="1"/>
  <c r="H132" i="1"/>
  <c r="G132" i="1"/>
  <c r="F132" i="1"/>
  <c r="E132" i="1"/>
  <c r="H129" i="1"/>
  <c r="G129" i="1"/>
  <c r="F129" i="1"/>
  <c r="E129" i="1"/>
  <c r="H126" i="1"/>
  <c r="G126" i="1"/>
  <c r="F126" i="1"/>
  <c r="E126" i="1"/>
  <c r="H123" i="1"/>
  <c r="G123" i="1"/>
  <c r="F123" i="1"/>
  <c r="E123" i="1"/>
  <c r="H120" i="1"/>
  <c r="G120" i="1"/>
  <c r="F120" i="1"/>
  <c r="E120" i="1"/>
  <c r="H117" i="1"/>
  <c r="G117" i="1"/>
  <c r="F117" i="1"/>
  <c r="E117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39" i="1"/>
  <c r="G39" i="1"/>
  <c r="F39" i="1"/>
  <c r="E39" i="1"/>
  <c r="H36" i="1"/>
  <c r="G36" i="1"/>
  <c r="F36" i="1"/>
  <c r="E36" i="1"/>
  <c r="H33" i="1"/>
  <c r="G33" i="1"/>
  <c r="F33" i="1"/>
  <c r="E33" i="1"/>
  <c r="H30" i="1"/>
  <c r="G30" i="1"/>
  <c r="F30" i="1"/>
  <c r="E30" i="1"/>
  <c r="H27" i="1"/>
  <c r="G27" i="1"/>
  <c r="F27" i="1"/>
  <c r="E27" i="1"/>
  <c r="H24" i="1"/>
  <c r="G24" i="1"/>
  <c r="F24" i="1"/>
  <c r="E24" i="1"/>
  <c r="H21" i="1"/>
  <c r="G21" i="1"/>
  <c r="F21" i="1"/>
  <c r="E21" i="1"/>
  <c r="H18" i="1"/>
  <c r="G18" i="1"/>
  <c r="F18" i="1"/>
  <c r="E18" i="1"/>
  <c r="F286" i="1" l="1"/>
  <c r="G286" i="1"/>
  <c r="H286" i="1"/>
  <c r="E286" i="1"/>
  <c r="H164" i="1"/>
  <c r="H216" i="1"/>
  <c r="E216" i="1"/>
  <c r="F216" i="1"/>
  <c r="G216" i="1"/>
  <c r="H165" i="1"/>
  <c r="E142" i="1"/>
  <c r="E46" i="1"/>
  <c r="F46" i="1"/>
  <c r="G142" i="1"/>
  <c r="H68" i="1"/>
  <c r="F142" i="1"/>
  <c r="H142" i="1"/>
  <c r="H69" i="1"/>
  <c r="I420" i="1"/>
  <c r="I419" i="1" s="1"/>
  <c r="G46" i="1"/>
  <c r="H46" i="1"/>
  <c r="H420" i="1"/>
  <c r="H419" i="1" s="1"/>
  <c r="F419" i="1"/>
  <c r="G419" i="1"/>
  <c r="I393" i="1"/>
  <c r="I392" i="1"/>
  <c r="I367" i="1"/>
  <c r="I364" i="1"/>
  <c r="I361" i="1"/>
  <c r="I358" i="1"/>
  <c r="I355" i="1"/>
  <c r="I352" i="1"/>
  <c r="I349" i="1"/>
  <c r="I346" i="1"/>
  <c r="I343" i="1"/>
  <c r="I324" i="1"/>
  <c r="I322" i="1"/>
  <c r="I279" i="1"/>
  <c r="I276" i="1"/>
  <c r="I273" i="1"/>
  <c r="I270" i="1"/>
  <c r="I267" i="1"/>
  <c r="I264" i="1"/>
  <c r="I261" i="1"/>
  <c r="I244" i="1"/>
  <c r="I242" i="1"/>
  <c r="I209" i="1"/>
  <c r="I206" i="1"/>
  <c r="I203" i="1"/>
  <c r="I189" i="1"/>
  <c r="I187" i="1"/>
  <c r="I135" i="1"/>
  <c r="I132" i="1"/>
  <c r="I129" i="1"/>
  <c r="I126" i="1"/>
  <c r="I123" i="1"/>
  <c r="I120" i="1"/>
  <c r="I117" i="1"/>
  <c r="I99" i="1"/>
  <c r="I97" i="1"/>
  <c r="I39" i="1"/>
  <c r="I36" i="1"/>
  <c r="I33" i="1"/>
  <c r="I30" i="1"/>
  <c r="I27" i="1"/>
  <c r="I24" i="1"/>
  <c r="I21" i="1"/>
  <c r="I18" i="1"/>
  <c r="H393" i="1"/>
  <c r="H392" i="1"/>
  <c r="H324" i="1"/>
  <c r="H322" i="1"/>
  <c r="H244" i="1"/>
  <c r="H242" i="1"/>
  <c r="H189" i="1"/>
  <c r="H187" i="1"/>
  <c r="H99" i="1"/>
  <c r="H97" i="1"/>
  <c r="E418" i="1"/>
  <c r="E420" i="1"/>
  <c r="E392" i="1"/>
  <c r="F392" i="1"/>
  <c r="G392" i="1"/>
  <c r="E393" i="1"/>
  <c r="F393" i="1"/>
  <c r="G393" i="1"/>
  <c r="F322" i="1"/>
  <c r="G322" i="1"/>
  <c r="F324" i="1"/>
  <c r="G324" i="1"/>
  <c r="F242" i="1"/>
  <c r="G242" i="1"/>
  <c r="F244" i="1"/>
  <c r="G244" i="1"/>
  <c r="F187" i="1"/>
  <c r="G187" i="1"/>
  <c r="F189" i="1"/>
  <c r="G189" i="1"/>
  <c r="F97" i="1"/>
  <c r="G97" i="1"/>
  <c r="F99" i="1"/>
  <c r="G99" i="1"/>
  <c r="E337" i="1"/>
  <c r="E324" i="1"/>
  <c r="E322" i="1"/>
  <c r="E255" i="1"/>
  <c r="E244" i="1"/>
  <c r="E242" i="1"/>
  <c r="E197" i="1"/>
  <c r="E99" i="1"/>
  <c r="E97" i="1"/>
  <c r="E189" i="1"/>
  <c r="E187" i="1"/>
  <c r="E111" i="1"/>
  <c r="I286" i="1" l="1"/>
  <c r="I374" i="1"/>
  <c r="I216" i="1"/>
  <c r="I46" i="1"/>
  <c r="I142" i="1"/>
  <c r="H323" i="1"/>
  <c r="F188" i="1"/>
  <c r="H188" i="1"/>
  <c r="E188" i="1"/>
  <c r="I188" i="1"/>
  <c r="E419" i="1"/>
  <c r="G188" i="1"/>
  <c r="I323" i="1"/>
  <c r="I243" i="1"/>
  <c r="H98" i="1"/>
  <c r="I98" i="1"/>
  <c r="F243" i="1"/>
  <c r="H243" i="1"/>
  <c r="G243" i="1"/>
  <c r="G98" i="1"/>
  <c r="G323" i="1"/>
  <c r="F98" i="1"/>
  <c r="F323" i="1"/>
  <c r="E323" i="1"/>
  <c r="E243" i="1"/>
  <c r="E98" i="1"/>
</calcChain>
</file>

<file path=xl/sharedStrings.xml><?xml version="1.0" encoding="utf-8"?>
<sst xmlns="http://schemas.openxmlformats.org/spreadsheetml/2006/main" count="717" uniqueCount="131">
  <si>
    <t>County</t>
  </si>
  <si>
    <t>City / Unincorporated</t>
  </si>
  <si>
    <t>Library Code</t>
  </si>
  <si>
    <t>Library Name</t>
  </si>
  <si>
    <t>Est. Service Population</t>
  </si>
  <si>
    <t># of Library Cards</t>
  </si>
  <si>
    <t># of Active Cards</t>
  </si>
  <si>
    <t>Grays Harbor</t>
  </si>
  <si>
    <t>Aberdeen</t>
  </si>
  <si>
    <t>AB</t>
  </si>
  <si>
    <t>Elma</t>
  </si>
  <si>
    <t>EL</t>
  </si>
  <si>
    <t>Hoquiam</t>
  </si>
  <si>
    <t>HO</t>
  </si>
  <si>
    <t>McCleary</t>
  </si>
  <si>
    <t>MC</t>
  </si>
  <si>
    <t>Montesano</t>
  </si>
  <si>
    <t>MO</t>
  </si>
  <si>
    <t>Oakville</t>
  </si>
  <si>
    <t>OK</t>
  </si>
  <si>
    <t>Unincorporated</t>
  </si>
  <si>
    <t>AM</t>
  </si>
  <si>
    <t>Amanda Park</t>
  </si>
  <si>
    <t>Westport</t>
  </si>
  <si>
    <t>WE</t>
  </si>
  <si>
    <t>Totals</t>
  </si>
  <si>
    <t>Circulation</t>
  </si>
  <si>
    <t>Digital Circulation</t>
  </si>
  <si>
    <t>Total Circulation</t>
  </si>
  <si>
    <t>Events</t>
  </si>
  <si>
    <t>Attendance</t>
  </si>
  <si>
    <t>Computer Use</t>
  </si>
  <si>
    <t>Sessions</t>
  </si>
  <si>
    <t>Avg. Min. (per Session)</t>
  </si>
  <si>
    <t>Total Min. Used</t>
  </si>
  <si>
    <t>Lewis</t>
  </si>
  <si>
    <t>Centralia</t>
  </si>
  <si>
    <t>CE</t>
  </si>
  <si>
    <t>Chehalis</t>
  </si>
  <si>
    <t>CH</t>
  </si>
  <si>
    <t>Morton</t>
  </si>
  <si>
    <t>MR</t>
  </si>
  <si>
    <t>Toledo</t>
  </si>
  <si>
    <t>TO</t>
  </si>
  <si>
    <t>Toledo Kiosk</t>
  </si>
  <si>
    <t>MV</t>
  </si>
  <si>
    <t>Mountain View (Randle)</t>
  </si>
  <si>
    <t>PA</t>
  </si>
  <si>
    <t>Packwood</t>
  </si>
  <si>
    <t>SA</t>
  </si>
  <si>
    <t>Salkum</t>
  </si>
  <si>
    <t>Winlock</t>
  </si>
  <si>
    <t>WI</t>
  </si>
  <si>
    <t>Mason</t>
  </si>
  <si>
    <t>Shelton</t>
  </si>
  <si>
    <t>SH</t>
  </si>
  <si>
    <t>HP</t>
  </si>
  <si>
    <t>Hoodsport</t>
  </si>
  <si>
    <t>NM</t>
  </si>
  <si>
    <t>North Mason (Belfair)</t>
  </si>
  <si>
    <t>Pacific</t>
  </si>
  <si>
    <t>Ilwaco</t>
  </si>
  <si>
    <t>IL</t>
  </si>
  <si>
    <t>Raymond</t>
  </si>
  <si>
    <t>RA</t>
  </si>
  <si>
    <t>South Bend</t>
  </si>
  <si>
    <t>SB</t>
  </si>
  <si>
    <t>NA</t>
  </si>
  <si>
    <t>Naselle</t>
  </si>
  <si>
    <t>NR</t>
  </si>
  <si>
    <t>OP</t>
  </si>
  <si>
    <t>Ocean Park</t>
  </si>
  <si>
    <t>SW</t>
  </si>
  <si>
    <t>Shoalwater Bay Tribe</t>
  </si>
  <si>
    <t>Thurston</t>
  </si>
  <si>
    <t>Lacey</t>
  </si>
  <si>
    <t>HA</t>
  </si>
  <si>
    <t>LA</t>
  </si>
  <si>
    <t>Olympia</t>
  </si>
  <si>
    <t>OL</t>
  </si>
  <si>
    <t>WO</t>
  </si>
  <si>
    <t>West Olympia</t>
  </si>
  <si>
    <t>Tenino</t>
  </si>
  <si>
    <t>TE</t>
  </si>
  <si>
    <t>Tumwater</t>
  </si>
  <si>
    <t>SC</t>
  </si>
  <si>
    <t>Service Center</t>
  </si>
  <si>
    <t>TU</t>
  </si>
  <si>
    <t>Yelm</t>
  </si>
  <si>
    <t>YE</t>
  </si>
  <si>
    <t>NQ</t>
  </si>
  <si>
    <t>Definitions</t>
  </si>
  <si>
    <t>The estimated population served by this location, not limited</t>
  </si>
  <si>
    <t>to city or county limits. Based on OFM school district population</t>
  </si>
  <si>
    <t>figures, using the percentage of card holders for each location</t>
  </si>
  <si>
    <t>in each school district to allocated an unduplicated portion of</t>
  </si>
  <si>
    <t>the population.</t>
  </si>
  <si>
    <t>The number of registered card holders with activity in the past</t>
  </si>
  <si>
    <t>3 years. Activity is any use or authentication of the card.</t>
  </si>
  <si>
    <t>year. Activity is any use or authentication of the card.</t>
  </si>
  <si>
    <t>The number of digital items borrowed via Overdrive.</t>
  </si>
  <si>
    <t>The number of in-person or virtual programs or activities offered</t>
  </si>
  <si>
    <t>for patrons to engage in.</t>
  </si>
  <si>
    <t>The estimated number of patrons engaging with library events.</t>
  </si>
  <si>
    <t>Computer Use Sessions</t>
  </si>
  <si>
    <t>The number of times patrons logged in to one of the internet PCs.</t>
  </si>
  <si>
    <t>Min. Used</t>
  </si>
  <si>
    <t>The total number of minutes used by patrons on the internet PCs.</t>
  </si>
  <si>
    <t>Avg. Min per Session</t>
  </si>
  <si>
    <t>The average duration in minutes per session on the internet PCs.</t>
  </si>
  <si>
    <t>Hawks Prairie</t>
  </si>
  <si>
    <t># of Borrowers</t>
  </si>
  <si>
    <t>The number of unique patrons that borrowed physical items</t>
  </si>
  <si>
    <t>within the current year.</t>
  </si>
  <si>
    <t># of Digital Borrowers</t>
  </si>
  <si>
    <t>The number of unique patrons that borrowed digital (Overdrive) items</t>
  </si>
  <si>
    <t>2022</t>
  </si>
  <si>
    <t>The number of physical items borrowed, includes renewals.</t>
  </si>
  <si>
    <t>Accounts</t>
  </si>
  <si>
    <t>Internet</t>
  </si>
  <si>
    <t>Last Updated</t>
  </si>
  <si>
    <t>AL-HO</t>
  </si>
  <si>
    <t>Anywhere Library - Grays Harbor</t>
  </si>
  <si>
    <t>AL-SA</t>
  </si>
  <si>
    <t>Anywhere Library - Lewis County</t>
  </si>
  <si>
    <t>AL-SH</t>
  </si>
  <si>
    <t>Anywhere Library - Shelton</t>
  </si>
  <si>
    <t>AL-RA</t>
  </si>
  <si>
    <t>Anywhere Library - Pacific</t>
  </si>
  <si>
    <t>AL-LA</t>
  </si>
  <si>
    <t>Anywhere Library - Thurston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</si>
</sst>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b/>
      <sz val="14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quotePrefix="1" applyFont="1" applyFill="1" applyAlignment="1">
      <alignment horizontal="left"/>
    </xf>
    <xf numFmtId="0" fontId="1" fillId="2" borderId="0" xfId="0" quotePrefix="1" applyFont="1" applyFill="1" applyAlignment="1">
      <alignment horizontal="right"/>
    </xf>
    <xf numFmtId="0" fontId="2" fillId="0" borderId="0" xfId="0" applyFont="1"/>
    <xf numFmtId="0" fontId="2" fillId="0" borderId="0" xfId="0" quotePrefix="1" applyFont="1" applyAlignment="1">
      <alignment horizontal="left" vertical="top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top"/>
    </xf>
    <xf numFmtId="3" fontId="2" fillId="0" borderId="0" xfId="0" applyNumberFormat="1" applyFont="1"/>
    <xf numFmtId="0" fontId="1" fillId="0" borderId="0" xfId="0" applyFont="1"/>
    <xf numFmtId="0" fontId="3" fillId="0" borderId="0" xfId="0" applyFont="1"/>
    <xf numFmtId="0" fontId="1" fillId="2" borderId="0" xfId="0" quotePrefix="1" applyFont="1" applyFill="1" applyAlignment="1">
      <alignment horizontal="right" wrapText="1"/>
    </xf>
    <xf numFmtId="0" fontId="1" fillId="0" borderId="0" xfId="0" quotePrefix="1" applyFont="1" applyAlignment="1">
      <alignment horizontal="left" vertical="top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top"/>
    </xf>
    <xf numFmtId="3" fontId="1" fillId="0" borderId="0" xfId="0" applyNumberFormat="1" applyFont="1"/>
    <xf numFmtId="0" fontId="4" fillId="0" borderId="0" xfId="0" quotePrefix="1" applyFont="1" applyAlignment="1">
      <alignment horizontal="left" vertical="top"/>
    </xf>
    <xf numFmtId="3" fontId="4" fillId="0" borderId="0" xfId="0" applyNumberFormat="1" applyFont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horizontal="left" vertical="top"/>
    </xf>
    <xf numFmtId="0" fontId="2" fillId="0" borderId="0" xfId="0" quotePrefix="1" applyFont="1" applyAlignment="1">
      <alignment horizontal="left" vertical="top"/>
    </xf>
    <xf numFmtId="0" fontId="2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6A9B-8F31-4265-8F89-B3A4F1492A24}">
  <dimension ref="A1:B45"/>
  <sheetViews>
    <sheetView topLeftCell="A3" workbookViewId="0">
      <selection activeCell="A27" sqref="A27"/>
    </sheetView>
  </sheetViews>
  <sheetFormatPr defaultRowHeight="14.5" x14ac:dyDescent="0.35"/>
  <sheetData>
    <row r="1" spans="1:2" ht="15.5" x14ac:dyDescent="0.35">
      <c r="A1" s="9" t="s">
        <v>91</v>
      </c>
      <c r="B1" s="3"/>
    </row>
    <row r="2" spans="1:2" ht="15.5" x14ac:dyDescent="0.35">
      <c r="A2" s="9" t="s">
        <v>4</v>
      </c>
      <c r="B2" s="3"/>
    </row>
    <row r="3" spans="1:2" ht="15.5" x14ac:dyDescent="0.35">
      <c r="A3" s="3" t="s">
        <v>92</v>
      </c>
      <c r="B3" s="3"/>
    </row>
    <row r="4" spans="1:2" ht="15.5" x14ac:dyDescent="0.35">
      <c r="A4" s="3" t="s">
        <v>93</v>
      </c>
      <c r="B4" s="3"/>
    </row>
    <row r="5" spans="1:2" ht="15.5" x14ac:dyDescent="0.35">
      <c r="A5" s="3" t="s">
        <v>94</v>
      </c>
      <c r="B5" s="3"/>
    </row>
    <row r="6" spans="1:2" ht="15.5" x14ac:dyDescent="0.35">
      <c r="A6" s="3" t="s">
        <v>95</v>
      </c>
      <c r="B6" s="3"/>
    </row>
    <row r="7" spans="1:2" ht="15.5" x14ac:dyDescent="0.35">
      <c r="A7" s="3" t="s">
        <v>96</v>
      </c>
      <c r="B7" s="3"/>
    </row>
    <row r="8" spans="1:2" ht="15.5" x14ac:dyDescent="0.35">
      <c r="A8" s="3"/>
      <c r="B8" s="3"/>
    </row>
    <row r="9" spans="1:2" ht="15.5" x14ac:dyDescent="0.35">
      <c r="A9" s="9" t="s">
        <v>5</v>
      </c>
      <c r="B9" s="3"/>
    </row>
    <row r="10" spans="1:2" ht="15.5" x14ac:dyDescent="0.35">
      <c r="A10" s="3" t="s">
        <v>97</v>
      </c>
      <c r="B10" s="3"/>
    </row>
    <row r="11" spans="1:2" ht="15.5" x14ac:dyDescent="0.35">
      <c r="A11" s="3" t="s">
        <v>98</v>
      </c>
      <c r="B11" s="3"/>
    </row>
    <row r="12" spans="1:2" ht="15.5" x14ac:dyDescent="0.35">
      <c r="A12" s="3"/>
      <c r="B12" s="3"/>
    </row>
    <row r="13" spans="1:2" ht="15.5" x14ac:dyDescent="0.35">
      <c r="A13" s="9" t="s">
        <v>6</v>
      </c>
      <c r="B13" s="3"/>
    </row>
    <row r="14" spans="1:2" ht="15.5" x14ac:dyDescent="0.35">
      <c r="A14" s="3" t="s">
        <v>97</v>
      </c>
      <c r="B14" s="3"/>
    </row>
    <row r="15" spans="1:2" ht="15.5" x14ac:dyDescent="0.35">
      <c r="A15" s="3" t="s">
        <v>99</v>
      </c>
      <c r="B15" s="3"/>
    </row>
    <row r="16" spans="1:2" ht="15.5" x14ac:dyDescent="0.35">
      <c r="A16" s="3"/>
      <c r="B16" s="3"/>
    </row>
    <row r="17" spans="1:2" ht="15.5" x14ac:dyDescent="0.35">
      <c r="A17" s="9" t="s">
        <v>111</v>
      </c>
      <c r="B17" s="3"/>
    </row>
    <row r="18" spans="1:2" ht="15.5" x14ac:dyDescent="0.35">
      <c r="A18" s="3" t="s">
        <v>112</v>
      </c>
      <c r="B18" s="3"/>
    </row>
    <row r="19" spans="1:2" ht="15.5" x14ac:dyDescent="0.35">
      <c r="A19" s="3" t="s">
        <v>113</v>
      </c>
      <c r="B19" s="3"/>
    </row>
    <row r="20" spans="1:2" ht="15.5" x14ac:dyDescent="0.35">
      <c r="A20" s="3"/>
      <c r="B20" s="3"/>
    </row>
    <row r="21" spans="1:2" ht="15.5" x14ac:dyDescent="0.35">
      <c r="A21" s="9" t="s">
        <v>114</v>
      </c>
      <c r="B21" s="3"/>
    </row>
    <row r="22" spans="1:2" ht="15.5" x14ac:dyDescent="0.35">
      <c r="A22" s="3" t="s">
        <v>115</v>
      </c>
      <c r="B22" s="3"/>
    </row>
    <row r="23" spans="1:2" ht="15.5" x14ac:dyDescent="0.35">
      <c r="A23" s="3" t="s">
        <v>113</v>
      </c>
      <c r="B23" s="3"/>
    </row>
    <row r="24" spans="1:2" ht="15.5" x14ac:dyDescent="0.35">
      <c r="A24" s="3"/>
      <c r="B24" s="3"/>
    </row>
    <row r="25" spans="1:2" ht="15.5" x14ac:dyDescent="0.35">
      <c r="A25" s="9" t="s">
        <v>26</v>
      </c>
      <c r="B25" s="3"/>
    </row>
    <row r="26" spans="1:2" ht="15.5" x14ac:dyDescent="0.35">
      <c r="A26" s="3" t="s">
        <v>117</v>
      </c>
    </row>
    <row r="28" spans="1:2" x14ac:dyDescent="0.35">
      <c r="A28" s="10" t="s">
        <v>27</v>
      </c>
    </row>
    <row r="29" spans="1:2" x14ac:dyDescent="0.35">
      <c r="A29" t="s">
        <v>100</v>
      </c>
    </row>
    <row r="31" spans="1:2" x14ac:dyDescent="0.35">
      <c r="A31" s="10" t="s">
        <v>29</v>
      </c>
    </row>
    <row r="32" spans="1:2" x14ac:dyDescent="0.35">
      <c r="A32" t="s">
        <v>101</v>
      </c>
    </row>
    <row r="33" spans="1:1" x14ac:dyDescent="0.35">
      <c r="A33" t="s">
        <v>102</v>
      </c>
    </row>
    <row r="35" spans="1:1" x14ac:dyDescent="0.35">
      <c r="A35" s="10" t="s">
        <v>30</v>
      </c>
    </row>
    <row r="36" spans="1:1" x14ac:dyDescent="0.35">
      <c r="A36" t="s">
        <v>103</v>
      </c>
    </row>
    <row r="38" spans="1:1" x14ac:dyDescent="0.35">
      <c r="A38" s="10" t="s">
        <v>104</v>
      </c>
    </row>
    <row r="39" spans="1:1" x14ac:dyDescent="0.35">
      <c r="A39" t="s">
        <v>105</v>
      </c>
    </row>
    <row r="41" spans="1:1" x14ac:dyDescent="0.35">
      <c r="A41" s="10" t="s">
        <v>106</v>
      </c>
    </row>
    <row r="42" spans="1:1" x14ac:dyDescent="0.35">
      <c r="A42" t="s">
        <v>107</v>
      </c>
    </row>
    <row r="44" spans="1:1" x14ac:dyDescent="0.35">
      <c r="A44" s="10" t="s">
        <v>108</v>
      </c>
    </row>
    <row r="45" spans="1:1" x14ac:dyDescent="0.35">
      <c r="A45" t="s">
        <v>109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0"/>
  <sheetViews>
    <sheetView tabSelected="1" zoomScale="130" zoomScaleNormal="130" workbookViewId="0">
      <selection activeCell="L6" sqref="L6"/>
    </sheetView>
  </sheetViews>
  <sheetFormatPr defaultColWidth="9.1796875" defaultRowHeight="15.5" x14ac:dyDescent="0.35"/>
  <cols>
    <col min="1" max="1" width="14.7265625" style="3" bestFit="1" customWidth="1"/>
    <col min="2" max="2" width="22.54296875" style="3" bestFit="1" customWidth="1"/>
    <col min="3" max="3" width="14.453125" style="3" bestFit="1" customWidth="1"/>
    <col min="4" max="4" width="34.453125" style="3" bestFit="1" customWidth="1"/>
    <col min="5" max="5" width="26.1796875" style="3" bestFit="1" customWidth="1"/>
    <col min="6" max="6" width="20.7265625" style="3" bestFit="1" customWidth="1"/>
    <col min="7" max="7" width="19.7265625" style="3" bestFit="1" customWidth="1"/>
    <col min="8" max="9" width="18.7265625" style="3" customWidth="1"/>
    <col min="10" max="10" width="7.81640625" style="3" bestFit="1" customWidth="1"/>
    <col min="11" max="11" width="11.1796875" style="3" bestFit="1" customWidth="1"/>
    <col min="12" max="12" width="24.54296875" style="3" customWidth="1"/>
    <col min="13" max="16384" width="9.1796875" style="3"/>
  </cols>
  <sheetData>
    <row r="1" spans="1:12" ht="31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111</v>
      </c>
      <c r="I1" s="11" t="s">
        <v>114</v>
      </c>
      <c r="K1" s="24" t="s">
        <v>120</v>
      </c>
      <c r="L1" s="24"/>
    </row>
    <row r="2" spans="1:12" x14ac:dyDescent="0.35">
      <c r="A2" s="20" t="s">
        <v>7</v>
      </c>
      <c r="B2" s="4" t="s">
        <v>8</v>
      </c>
      <c r="C2" s="4" t="s">
        <v>9</v>
      </c>
      <c r="D2" s="4" t="s">
        <v>8</v>
      </c>
      <c r="E2" s="5">
        <v>29085</v>
      </c>
      <c r="F2" s="5">
        <v>15905</v>
      </c>
      <c r="G2" s="5">
        <v>5381</v>
      </c>
      <c r="H2" s="5">
        <v>2194</v>
      </c>
      <c r="I2" s="5">
        <v>2006</v>
      </c>
      <c r="K2" s="3" t="s">
        <v>118</v>
      </c>
      <c r="L2" s="18">
        <v>45702</v>
      </c>
    </row>
    <row r="3" spans="1:12" x14ac:dyDescent="0.35">
      <c r="A3" s="21"/>
      <c r="B3" s="4" t="s">
        <v>10</v>
      </c>
      <c r="C3" s="4" t="s">
        <v>11</v>
      </c>
      <c r="D3" s="4" t="s">
        <v>10</v>
      </c>
      <c r="E3" s="5">
        <v>10005</v>
      </c>
      <c r="F3" s="5">
        <v>10483</v>
      </c>
      <c r="G3" s="5">
        <v>2738</v>
      </c>
      <c r="H3" s="5">
        <v>1392</v>
      </c>
      <c r="I3" s="5">
        <v>903</v>
      </c>
      <c r="K3" s="3" t="s">
        <v>26</v>
      </c>
      <c r="L3" s="18">
        <v>45702</v>
      </c>
    </row>
    <row r="4" spans="1:12" x14ac:dyDescent="0.35">
      <c r="A4" s="21"/>
      <c r="B4" s="4" t="s">
        <v>12</v>
      </c>
      <c r="C4" s="4" t="s">
        <v>13</v>
      </c>
      <c r="D4" s="4" t="s">
        <v>12</v>
      </c>
      <c r="E4" s="5">
        <v>13631</v>
      </c>
      <c r="F4" s="5">
        <v>9211</v>
      </c>
      <c r="G4" s="5">
        <v>3527</v>
      </c>
      <c r="H4" s="5">
        <v>1759</v>
      </c>
      <c r="I4" s="5">
        <v>1110</v>
      </c>
      <c r="K4" s="3" t="s">
        <v>119</v>
      </c>
      <c r="L4" s="18">
        <v>45703</v>
      </c>
    </row>
    <row r="5" spans="1:12" x14ac:dyDescent="0.35">
      <c r="A5" s="21"/>
      <c r="B5" s="4" t="s">
        <v>14</v>
      </c>
      <c r="C5" s="4" t="s">
        <v>15</v>
      </c>
      <c r="D5" s="4" t="s">
        <v>14</v>
      </c>
      <c r="E5" s="5">
        <v>3442</v>
      </c>
      <c r="F5" s="6">
        <v>2103</v>
      </c>
      <c r="G5" s="6">
        <v>935</v>
      </c>
      <c r="H5" s="6">
        <v>510</v>
      </c>
      <c r="I5" s="6">
        <v>480</v>
      </c>
      <c r="K5" s="3" t="s">
        <v>29</v>
      </c>
      <c r="L5" s="18">
        <v>45703</v>
      </c>
    </row>
    <row r="6" spans="1:12" x14ac:dyDescent="0.35">
      <c r="A6" s="21"/>
      <c r="B6" s="4" t="s">
        <v>16</v>
      </c>
      <c r="C6" s="4" t="s">
        <v>17</v>
      </c>
      <c r="D6" s="4" t="s">
        <v>16</v>
      </c>
      <c r="E6" s="5">
        <v>8681</v>
      </c>
      <c r="F6" s="6">
        <v>3899</v>
      </c>
      <c r="G6" s="6">
        <v>2282</v>
      </c>
      <c r="H6" s="6">
        <v>1623</v>
      </c>
      <c r="I6" s="6">
        <v>1098</v>
      </c>
    </row>
    <row r="7" spans="1:12" x14ac:dyDescent="0.35">
      <c r="A7" s="21"/>
      <c r="B7" s="4" t="s">
        <v>18</v>
      </c>
      <c r="C7" s="4" t="s">
        <v>19</v>
      </c>
      <c r="D7" s="4" t="s">
        <v>18</v>
      </c>
      <c r="E7" s="5">
        <v>2757</v>
      </c>
      <c r="F7" s="6">
        <v>5341</v>
      </c>
      <c r="G7" s="6">
        <v>820</v>
      </c>
      <c r="H7" s="6">
        <v>277</v>
      </c>
      <c r="I7" s="6">
        <v>257</v>
      </c>
    </row>
    <row r="8" spans="1:12" x14ac:dyDescent="0.35">
      <c r="A8" s="21"/>
      <c r="B8" s="4" t="s">
        <v>20</v>
      </c>
      <c r="C8" s="4" t="s">
        <v>21</v>
      </c>
      <c r="D8" s="4" t="s">
        <v>22</v>
      </c>
      <c r="E8" s="5">
        <v>1271</v>
      </c>
      <c r="F8" s="5">
        <v>992</v>
      </c>
      <c r="G8" s="5">
        <v>364</v>
      </c>
      <c r="H8" s="5">
        <v>248</v>
      </c>
      <c r="I8" s="5">
        <v>140</v>
      </c>
    </row>
    <row r="9" spans="1:12" x14ac:dyDescent="0.35">
      <c r="A9" s="21"/>
      <c r="B9" s="4" t="s">
        <v>23</v>
      </c>
      <c r="C9" s="4" t="s">
        <v>24</v>
      </c>
      <c r="D9" s="4" t="s">
        <v>23</v>
      </c>
      <c r="E9" s="5">
        <v>7304</v>
      </c>
      <c r="F9" s="6">
        <v>3726</v>
      </c>
      <c r="G9" s="6">
        <v>1529</v>
      </c>
      <c r="H9" s="6">
        <v>630</v>
      </c>
      <c r="I9" s="6">
        <v>620</v>
      </c>
    </row>
    <row r="10" spans="1:12" x14ac:dyDescent="0.35">
      <c r="B10" s="4"/>
      <c r="C10" s="4" t="s">
        <v>121</v>
      </c>
      <c r="D10" s="4" t="s">
        <v>122</v>
      </c>
      <c r="E10" s="5"/>
      <c r="F10" s="5">
        <v>124</v>
      </c>
      <c r="G10" s="5">
        <v>123</v>
      </c>
      <c r="H10" s="5">
        <v>108</v>
      </c>
      <c r="I10" s="5">
        <v>1</v>
      </c>
    </row>
    <row r="11" spans="1:12" x14ac:dyDescent="0.35">
      <c r="B11" s="4"/>
      <c r="C11" s="4"/>
      <c r="D11" s="4"/>
      <c r="E11" s="5"/>
      <c r="F11" s="5"/>
      <c r="G11" s="5"/>
      <c r="H11" s="5"/>
      <c r="I11" s="5"/>
    </row>
    <row r="12" spans="1:12" x14ac:dyDescent="0.35">
      <c r="B12" s="4"/>
      <c r="C12" s="4"/>
      <c r="D12" s="16" t="s">
        <v>25</v>
      </c>
      <c r="E12" s="17">
        <f>SUM(E2:E10)</f>
        <v>76176</v>
      </c>
      <c r="F12" s="17">
        <f t="shared" ref="F12:I12" si="0">SUM(F2:F10)</f>
        <v>51784</v>
      </c>
      <c r="G12" s="17">
        <f t="shared" si="0"/>
        <v>17699</v>
      </c>
      <c r="H12" s="17">
        <f t="shared" si="0"/>
        <v>8741</v>
      </c>
      <c r="I12" s="17">
        <f t="shared" si="0"/>
        <v>6615</v>
      </c>
      <c r="J12" s="17"/>
    </row>
    <row r="13" spans="1:12" x14ac:dyDescent="0.35">
      <c r="B13" s="4"/>
      <c r="C13" s="4"/>
      <c r="D13" s="12"/>
      <c r="E13" s="13"/>
      <c r="F13" s="13"/>
      <c r="G13" s="5"/>
      <c r="H13" s="5"/>
      <c r="I13" s="13"/>
    </row>
    <row r="14" spans="1:12" x14ac:dyDescent="0.35">
      <c r="B14" s="4"/>
      <c r="C14" s="4"/>
      <c r="D14" s="4"/>
      <c r="E14" s="5"/>
      <c r="F14" s="5"/>
      <c r="G14" s="5"/>
    </row>
    <row r="15" spans="1:12" x14ac:dyDescent="0.35">
      <c r="B15" s="23" t="s">
        <v>26</v>
      </c>
      <c r="C15" s="23"/>
      <c r="D15" s="23"/>
      <c r="E15" s="2">
        <v>2020</v>
      </c>
      <c r="F15" s="2">
        <v>2021</v>
      </c>
      <c r="G15" s="2">
        <v>2022</v>
      </c>
      <c r="H15" s="2">
        <v>2023</v>
      </c>
      <c r="I15" s="2">
        <v>2024</v>
      </c>
    </row>
    <row r="16" spans="1:12" x14ac:dyDescent="0.35">
      <c r="B16" s="20" t="s">
        <v>8</v>
      </c>
      <c r="C16" s="20" t="s">
        <v>9</v>
      </c>
      <c r="D16" s="4" t="s">
        <v>26</v>
      </c>
      <c r="E16" s="6">
        <v>39033</v>
      </c>
      <c r="F16" s="6">
        <v>63800</v>
      </c>
      <c r="G16" s="6">
        <v>84725</v>
      </c>
      <c r="H16" s="6">
        <v>75541</v>
      </c>
      <c r="I16" s="6">
        <v>66419</v>
      </c>
    </row>
    <row r="17" spans="2:9" x14ac:dyDescent="0.35">
      <c r="B17" s="21"/>
      <c r="C17" s="21"/>
      <c r="D17" s="4" t="s">
        <v>27</v>
      </c>
      <c r="E17" s="6">
        <v>38064</v>
      </c>
      <c r="F17" s="6">
        <v>41274</v>
      </c>
      <c r="G17" s="6">
        <v>46905</v>
      </c>
      <c r="H17" s="6">
        <v>52643</v>
      </c>
      <c r="I17" s="6">
        <v>58257</v>
      </c>
    </row>
    <row r="18" spans="2:9" x14ac:dyDescent="0.35">
      <c r="B18" s="21"/>
      <c r="C18" s="21"/>
      <c r="D18" s="16" t="s">
        <v>28</v>
      </c>
      <c r="E18" s="17">
        <f>+E17+E16</f>
        <v>77097</v>
      </c>
      <c r="F18" s="17">
        <f>+F17+F16</f>
        <v>105074</v>
      </c>
      <c r="G18" s="17">
        <f>+G17+G16</f>
        <v>131630</v>
      </c>
      <c r="H18" s="17">
        <f>+H17+H16</f>
        <v>128184</v>
      </c>
      <c r="I18" s="17">
        <f>+I17+I16</f>
        <v>124676</v>
      </c>
    </row>
    <row r="19" spans="2:9" x14ac:dyDescent="0.35">
      <c r="B19" s="20" t="s">
        <v>10</v>
      </c>
      <c r="C19" s="20" t="s">
        <v>11</v>
      </c>
      <c r="D19" s="4" t="s">
        <v>26</v>
      </c>
      <c r="E19" s="6">
        <v>17968</v>
      </c>
      <c r="F19" s="6">
        <v>27063</v>
      </c>
      <c r="G19" s="6">
        <v>36645</v>
      </c>
      <c r="H19" s="6">
        <v>48514</v>
      </c>
      <c r="I19" s="6">
        <v>42848</v>
      </c>
    </row>
    <row r="20" spans="2:9" x14ac:dyDescent="0.35">
      <c r="B20" s="21"/>
      <c r="C20" s="21"/>
      <c r="D20" s="4" t="s">
        <v>27</v>
      </c>
      <c r="E20" s="6">
        <v>12100</v>
      </c>
      <c r="F20" s="6">
        <v>13888</v>
      </c>
      <c r="G20" s="6">
        <v>15621</v>
      </c>
      <c r="H20" s="6">
        <v>19228</v>
      </c>
      <c r="I20" s="6">
        <v>21613</v>
      </c>
    </row>
    <row r="21" spans="2:9" x14ac:dyDescent="0.35">
      <c r="B21" s="21"/>
      <c r="C21" s="21"/>
      <c r="D21" s="16" t="s">
        <v>28</v>
      </c>
      <c r="E21" s="17">
        <f>+E20+E19</f>
        <v>30068</v>
      </c>
      <c r="F21" s="17">
        <f>+F20+F19</f>
        <v>40951</v>
      </c>
      <c r="G21" s="17">
        <f>+G20+G19</f>
        <v>52266</v>
      </c>
      <c r="H21" s="17">
        <f>+H20+H19</f>
        <v>67742</v>
      </c>
      <c r="I21" s="17">
        <f>+I20+I19</f>
        <v>64461</v>
      </c>
    </row>
    <row r="22" spans="2:9" x14ac:dyDescent="0.35">
      <c r="B22" s="20" t="s">
        <v>12</v>
      </c>
      <c r="C22" s="20" t="s">
        <v>13</v>
      </c>
      <c r="D22" s="4" t="s">
        <v>26</v>
      </c>
      <c r="E22" s="6">
        <v>29563</v>
      </c>
      <c r="F22" s="6">
        <v>47626</v>
      </c>
      <c r="G22" s="6">
        <v>64336</v>
      </c>
      <c r="H22" s="6">
        <v>67929</v>
      </c>
      <c r="I22" s="6">
        <v>65962</v>
      </c>
    </row>
    <row r="23" spans="2:9" x14ac:dyDescent="0.35">
      <c r="B23" s="21"/>
      <c r="C23" s="21"/>
      <c r="D23" s="4" t="s">
        <v>27</v>
      </c>
      <c r="E23" s="6">
        <v>16656</v>
      </c>
      <c r="F23" s="6">
        <v>12709</v>
      </c>
      <c r="G23" s="6">
        <v>15217</v>
      </c>
      <c r="H23" s="6">
        <v>15719</v>
      </c>
      <c r="I23" s="6">
        <v>24935</v>
      </c>
    </row>
    <row r="24" spans="2:9" x14ac:dyDescent="0.35">
      <c r="B24" s="21"/>
      <c r="C24" s="21"/>
      <c r="D24" s="16" t="s">
        <v>28</v>
      </c>
      <c r="E24" s="17">
        <f>+E23+E22</f>
        <v>46219</v>
      </c>
      <c r="F24" s="17">
        <f>+F23+F22</f>
        <v>60335</v>
      </c>
      <c r="G24" s="17">
        <f>+G23+G22</f>
        <v>79553</v>
      </c>
      <c r="H24" s="17">
        <f>+H23+H22</f>
        <v>83648</v>
      </c>
      <c r="I24" s="17">
        <f>+I23+I22</f>
        <v>90897</v>
      </c>
    </row>
    <row r="25" spans="2:9" x14ac:dyDescent="0.35">
      <c r="B25" s="20" t="s">
        <v>14</v>
      </c>
      <c r="C25" s="20" t="s">
        <v>15</v>
      </c>
      <c r="D25" s="4" t="s">
        <v>26</v>
      </c>
      <c r="E25" s="6">
        <v>8873</v>
      </c>
      <c r="F25" s="6">
        <v>11235</v>
      </c>
      <c r="G25" s="6">
        <v>14485</v>
      </c>
      <c r="H25" s="6">
        <v>15832</v>
      </c>
      <c r="I25" s="6">
        <v>15389</v>
      </c>
    </row>
    <row r="26" spans="2:9" x14ac:dyDescent="0.35">
      <c r="B26" s="21"/>
      <c r="C26" s="21"/>
      <c r="D26" s="4" t="s">
        <v>27</v>
      </c>
      <c r="E26" s="6">
        <v>7382</v>
      </c>
      <c r="F26" s="6">
        <v>7048</v>
      </c>
      <c r="G26" s="6">
        <v>9815</v>
      </c>
      <c r="H26" s="6">
        <v>11715</v>
      </c>
      <c r="I26" s="6">
        <v>13541</v>
      </c>
    </row>
    <row r="27" spans="2:9" x14ac:dyDescent="0.35">
      <c r="B27" s="21"/>
      <c r="C27" s="21"/>
      <c r="D27" s="16" t="s">
        <v>28</v>
      </c>
      <c r="E27" s="17">
        <f>+E26+E25</f>
        <v>16255</v>
      </c>
      <c r="F27" s="17">
        <f>+F26+F25</f>
        <v>18283</v>
      </c>
      <c r="G27" s="17">
        <f>+G26+G25</f>
        <v>24300</v>
      </c>
      <c r="H27" s="17">
        <f>+H26+H25</f>
        <v>27547</v>
      </c>
      <c r="I27" s="17">
        <f>+I26+I25</f>
        <v>28930</v>
      </c>
    </row>
    <row r="28" spans="2:9" x14ac:dyDescent="0.35">
      <c r="B28" s="20" t="s">
        <v>16</v>
      </c>
      <c r="C28" s="20" t="s">
        <v>17</v>
      </c>
      <c r="D28" s="4" t="s">
        <v>26</v>
      </c>
      <c r="E28" s="6">
        <v>24141</v>
      </c>
      <c r="F28" s="6">
        <v>40159</v>
      </c>
      <c r="G28" s="6">
        <v>57702</v>
      </c>
      <c r="H28" s="6">
        <v>62494</v>
      </c>
      <c r="I28" s="6">
        <v>59219</v>
      </c>
    </row>
    <row r="29" spans="2:9" x14ac:dyDescent="0.35">
      <c r="B29" s="21"/>
      <c r="C29" s="21"/>
      <c r="D29" s="4" t="s">
        <v>27</v>
      </c>
      <c r="E29" s="6">
        <v>14914</v>
      </c>
      <c r="F29" s="6">
        <v>16366</v>
      </c>
      <c r="G29" s="6">
        <v>19911</v>
      </c>
      <c r="H29" s="6">
        <v>22772</v>
      </c>
      <c r="I29" s="6">
        <v>25978</v>
      </c>
    </row>
    <row r="30" spans="2:9" x14ac:dyDescent="0.35">
      <c r="B30" s="21"/>
      <c r="C30" s="21"/>
      <c r="D30" s="16" t="s">
        <v>28</v>
      </c>
      <c r="E30" s="17">
        <f>+E29+E28</f>
        <v>39055</v>
      </c>
      <c r="F30" s="17">
        <f>+F29+F28</f>
        <v>56525</v>
      </c>
      <c r="G30" s="17">
        <f>+G29+G28</f>
        <v>77613</v>
      </c>
      <c r="H30" s="17">
        <f>+H29+H28</f>
        <v>85266</v>
      </c>
      <c r="I30" s="17">
        <f>+I29+I28</f>
        <v>85197</v>
      </c>
    </row>
    <row r="31" spans="2:9" x14ac:dyDescent="0.35">
      <c r="B31" s="20" t="s">
        <v>18</v>
      </c>
      <c r="C31" s="20" t="s">
        <v>19</v>
      </c>
      <c r="D31" s="4" t="s">
        <v>26</v>
      </c>
      <c r="E31" s="6">
        <v>3639</v>
      </c>
      <c r="F31" s="6">
        <v>6089</v>
      </c>
      <c r="G31" s="6">
        <v>11279</v>
      </c>
      <c r="H31" s="6">
        <v>11791</v>
      </c>
      <c r="I31" s="6">
        <v>8849</v>
      </c>
    </row>
    <row r="32" spans="2:9" x14ac:dyDescent="0.35">
      <c r="B32" s="21"/>
      <c r="C32" s="21"/>
      <c r="D32" s="4" t="s">
        <v>27</v>
      </c>
      <c r="E32" s="6">
        <v>2788</v>
      </c>
      <c r="F32" s="6">
        <v>3713</v>
      </c>
      <c r="G32" s="6">
        <v>4577</v>
      </c>
      <c r="H32" s="6">
        <v>5328</v>
      </c>
      <c r="I32" s="6">
        <v>7098</v>
      </c>
    </row>
    <row r="33" spans="2:9" x14ac:dyDescent="0.35">
      <c r="B33" s="21"/>
      <c r="C33" s="21"/>
      <c r="D33" s="16" t="s">
        <v>28</v>
      </c>
      <c r="E33" s="17">
        <f>+E32+E31</f>
        <v>6427</v>
      </c>
      <c r="F33" s="17">
        <f>+F32+F31</f>
        <v>9802</v>
      </c>
      <c r="G33" s="17">
        <f>+G32+G31</f>
        <v>15856</v>
      </c>
      <c r="H33" s="17">
        <f>+H32+H31</f>
        <v>17119</v>
      </c>
      <c r="I33" s="17">
        <f>+I32+I31</f>
        <v>15947</v>
      </c>
    </row>
    <row r="34" spans="2:9" x14ac:dyDescent="0.35">
      <c r="B34" s="20" t="s">
        <v>20</v>
      </c>
      <c r="C34" s="20" t="s">
        <v>21</v>
      </c>
      <c r="D34" s="4" t="s">
        <v>26</v>
      </c>
      <c r="E34" s="6">
        <v>9189</v>
      </c>
      <c r="F34" s="6">
        <v>11012</v>
      </c>
      <c r="G34" s="6">
        <v>10765</v>
      </c>
      <c r="H34" s="6">
        <v>10447</v>
      </c>
      <c r="I34" s="6">
        <v>9529</v>
      </c>
    </row>
    <row r="35" spans="2:9" x14ac:dyDescent="0.35">
      <c r="B35" s="21"/>
      <c r="C35" s="21"/>
      <c r="D35" s="4" t="s">
        <v>27</v>
      </c>
      <c r="E35" s="6">
        <v>2263</v>
      </c>
      <c r="F35" s="6">
        <v>2537</v>
      </c>
      <c r="G35" s="6">
        <v>2711</v>
      </c>
      <c r="H35" s="6">
        <v>3018</v>
      </c>
      <c r="I35" s="6">
        <v>3074</v>
      </c>
    </row>
    <row r="36" spans="2:9" x14ac:dyDescent="0.35">
      <c r="B36" s="21"/>
      <c r="C36" s="21"/>
      <c r="D36" s="16" t="s">
        <v>28</v>
      </c>
      <c r="E36" s="17">
        <f>+E35+E34</f>
        <v>11452</v>
      </c>
      <c r="F36" s="17">
        <f>+F35+F34</f>
        <v>13549</v>
      </c>
      <c r="G36" s="17">
        <f>+G35+G34</f>
        <v>13476</v>
      </c>
      <c r="H36" s="17">
        <f>+H35+H34</f>
        <v>13465</v>
      </c>
      <c r="I36" s="17">
        <f>+I35+I34</f>
        <v>12603</v>
      </c>
    </row>
    <row r="37" spans="2:9" x14ac:dyDescent="0.35">
      <c r="B37" s="20" t="s">
        <v>23</v>
      </c>
      <c r="C37" s="20" t="s">
        <v>24</v>
      </c>
      <c r="D37" s="4" t="s">
        <v>26</v>
      </c>
      <c r="E37" s="6">
        <v>13437</v>
      </c>
      <c r="F37" s="6">
        <v>22067</v>
      </c>
      <c r="G37" s="6">
        <v>24458</v>
      </c>
      <c r="H37" s="6">
        <v>25044</v>
      </c>
      <c r="I37" s="6">
        <v>21350</v>
      </c>
    </row>
    <row r="38" spans="2:9" x14ac:dyDescent="0.35">
      <c r="B38" s="21"/>
      <c r="C38" s="21"/>
      <c r="D38" s="4" t="s">
        <v>27</v>
      </c>
      <c r="E38" s="6">
        <v>9172</v>
      </c>
      <c r="F38" s="6">
        <v>10159</v>
      </c>
      <c r="G38" s="6">
        <v>12881</v>
      </c>
      <c r="H38" s="6">
        <v>15953</v>
      </c>
      <c r="I38" s="6">
        <v>17354</v>
      </c>
    </row>
    <row r="39" spans="2:9" x14ac:dyDescent="0.35">
      <c r="B39" s="21"/>
      <c r="C39" s="21"/>
      <c r="D39" s="16" t="s">
        <v>28</v>
      </c>
      <c r="E39" s="17">
        <f>+E38+E37</f>
        <v>22609</v>
      </c>
      <c r="F39" s="17">
        <f>+F38+F37</f>
        <v>32226</v>
      </c>
      <c r="G39" s="17">
        <f>+G38+G37</f>
        <v>37339</v>
      </c>
      <c r="H39" s="17">
        <f>+H38+H37</f>
        <v>40997</v>
      </c>
      <c r="I39" s="17">
        <f>+I38+I37</f>
        <v>38704</v>
      </c>
    </row>
    <row r="40" spans="2:9" x14ac:dyDescent="0.35">
      <c r="C40" s="3" t="s">
        <v>121</v>
      </c>
      <c r="D40" s="4" t="s">
        <v>26</v>
      </c>
      <c r="E40" s="17">
        <v>0</v>
      </c>
      <c r="F40" s="17">
        <v>0</v>
      </c>
      <c r="G40" s="17">
        <v>0</v>
      </c>
      <c r="H40" s="17">
        <v>0</v>
      </c>
      <c r="I40" s="17">
        <v>1231</v>
      </c>
    </row>
    <row r="41" spans="2:9" x14ac:dyDescent="0.35">
      <c r="D41" s="4" t="s">
        <v>27</v>
      </c>
      <c r="E41" s="17">
        <v>0</v>
      </c>
      <c r="F41" s="17">
        <v>0</v>
      </c>
      <c r="G41" s="17">
        <v>0</v>
      </c>
      <c r="H41" s="17">
        <v>0</v>
      </c>
      <c r="I41" s="17">
        <v>9</v>
      </c>
    </row>
    <row r="42" spans="2:9" x14ac:dyDescent="0.35">
      <c r="D42" s="16" t="s">
        <v>28</v>
      </c>
      <c r="E42" s="17">
        <f>+E41+E40</f>
        <v>0</v>
      </c>
      <c r="F42" s="17">
        <f>+F41+F40</f>
        <v>0</v>
      </c>
      <c r="G42" s="17">
        <f>+G41+G40</f>
        <v>0</v>
      </c>
      <c r="H42" s="17">
        <f>+H41+H40</f>
        <v>0</v>
      </c>
      <c r="I42" s="17">
        <f>+I41+I40</f>
        <v>1240</v>
      </c>
    </row>
    <row r="43" spans="2:9" x14ac:dyDescent="0.35">
      <c r="D43" s="4"/>
      <c r="E43" s="6"/>
    </row>
    <row r="44" spans="2:9" x14ac:dyDescent="0.35">
      <c r="B44" s="4"/>
      <c r="C44" s="4" t="s">
        <v>25</v>
      </c>
      <c r="D44" s="16" t="s">
        <v>26</v>
      </c>
      <c r="E44" s="17">
        <f>+E16+E19+E22+E25+E28+E31+E34+E37+E40</f>
        <v>145843</v>
      </c>
      <c r="F44" s="17">
        <f t="shared" ref="F44:I44" si="1">+F16+F19+F22+F25+F28+F31+F34+F37+F40</f>
        <v>229051</v>
      </c>
      <c r="G44" s="17">
        <f t="shared" si="1"/>
        <v>304395</v>
      </c>
      <c r="H44" s="17">
        <f t="shared" si="1"/>
        <v>317592</v>
      </c>
      <c r="I44" s="17">
        <f t="shared" si="1"/>
        <v>290796</v>
      </c>
    </row>
    <row r="45" spans="2:9" x14ac:dyDescent="0.35">
      <c r="B45" s="4"/>
      <c r="C45" s="4"/>
      <c r="D45" s="16" t="s">
        <v>27</v>
      </c>
      <c r="E45" s="17">
        <f>+E17+E20+E23+E26+E29+E32+E35+E38+E41</f>
        <v>103339</v>
      </c>
      <c r="F45" s="17">
        <f t="shared" ref="F45:I45" si="2">+F17+F20+F23+F26+F29+F32+F35+F38+F41</f>
        <v>107694</v>
      </c>
      <c r="G45" s="17">
        <f t="shared" si="2"/>
        <v>127638</v>
      </c>
      <c r="H45" s="17">
        <f t="shared" si="2"/>
        <v>146376</v>
      </c>
      <c r="I45" s="17">
        <f t="shared" si="2"/>
        <v>171859</v>
      </c>
    </row>
    <row r="46" spans="2:9" x14ac:dyDescent="0.35">
      <c r="B46" s="4"/>
      <c r="C46" s="4"/>
      <c r="D46" s="16" t="s">
        <v>28</v>
      </c>
      <c r="E46" s="17">
        <f>+E18+E21+E24+E27+E30+E33+E36+E39+E42</f>
        <v>249182</v>
      </c>
      <c r="F46" s="17">
        <f t="shared" ref="F46:I46" si="3">+F18+F21+F24+F27+F30+F33+F36+F39+F42</f>
        <v>336745</v>
      </c>
      <c r="G46" s="17">
        <f t="shared" si="3"/>
        <v>432033</v>
      </c>
      <c r="H46" s="17">
        <f t="shared" si="3"/>
        <v>463968</v>
      </c>
      <c r="I46" s="17">
        <f t="shared" si="3"/>
        <v>462655</v>
      </c>
    </row>
    <row r="47" spans="2:9" x14ac:dyDescent="0.35">
      <c r="B47" s="4"/>
      <c r="C47" s="4"/>
      <c r="D47" s="4"/>
      <c r="E47" s="5"/>
      <c r="F47" s="5"/>
    </row>
    <row r="48" spans="2:9" x14ac:dyDescent="0.35">
      <c r="B48" s="23" t="s">
        <v>29</v>
      </c>
      <c r="C48" s="23"/>
      <c r="D48" s="23"/>
      <c r="E48" s="2">
        <v>2020</v>
      </c>
      <c r="F48" s="2">
        <v>2021</v>
      </c>
      <c r="G48" s="2">
        <v>2022</v>
      </c>
      <c r="H48" s="2">
        <v>2023</v>
      </c>
      <c r="I48" s="2">
        <v>2024</v>
      </c>
    </row>
    <row r="49" spans="2:9" x14ac:dyDescent="0.35">
      <c r="B49" s="20" t="s">
        <v>8</v>
      </c>
      <c r="C49" s="20" t="s">
        <v>9</v>
      </c>
      <c r="D49" s="4" t="s">
        <v>30</v>
      </c>
      <c r="E49" s="6">
        <v>528</v>
      </c>
      <c r="F49" s="6">
        <v>331</v>
      </c>
      <c r="G49" s="6">
        <v>213</v>
      </c>
      <c r="H49" s="6">
        <f>336+174</f>
        <v>510</v>
      </c>
      <c r="I49" s="6">
        <v>1258</v>
      </c>
    </row>
    <row r="50" spans="2:9" x14ac:dyDescent="0.35">
      <c r="B50" s="21"/>
      <c r="C50" s="21"/>
      <c r="D50" s="4" t="s">
        <v>29</v>
      </c>
      <c r="E50" s="6">
        <v>380</v>
      </c>
      <c r="F50" s="6">
        <v>136</v>
      </c>
      <c r="G50" s="6">
        <v>333</v>
      </c>
      <c r="H50" s="6">
        <f>264+68</f>
        <v>332</v>
      </c>
      <c r="I50" s="6">
        <v>143</v>
      </c>
    </row>
    <row r="51" spans="2:9" x14ac:dyDescent="0.35">
      <c r="B51" s="20" t="s">
        <v>10</v>
      </c>
      <c r="C51" s="20" t="s">
        <v>11</v>
      </c>
      <c r="D51" s="4" t="s">
        <v>30</v>
      </c>
      <c r="E51" s="6">
        <v>769</v>
      </c>
      <c r="F51" s="6">
        <v>1422</v>
      </c>
      <c r="G51" s="6">
        <v>872</v>
      </c>
      <c r="H51" s="6">
        <f>2474+1225</f>
        <v>3699</v>
      </c>
      <c r="I51" s="6">
        <v>2948</v>
      </c>
    </row>
    <row r="52" spans="2:9" x14ac:dyDescent="0.35">
      <c r="B52" s="21"/>
      <c r="C52" s="21"/>
      <c r="D52" s="4" t="s">
        <v>29</v>
      </c>
      <c r="E52" s="6">
        <v>112</v>
      </c>
      <c r="F52" s="6">
        <v>33</v>
      </c>
      <c r="G52" s="6">
        <v>58</v>
      </c>
      <c r="H52" s="6">
        <f>131+68</f>
        <v>199</v>
      </c>
      <c r="I52" s="6">
        <v>165</v>
      </c>
    </row>
    <row r="53" spans="2:9" x14ac:dyDescent="0.35">
      <c r="B53" s="20" t="s">
        <v>12</v>
      </c>
      <c r="C53" s="20" t="s">
        <v>13</v>
      </c>
      <c r="D53" s="4" t="s">
        <v>30</v>
      </c>
      <c r="E53" s="6">
        <v>522</v>
      </c>
      <c r="F53" s="6">
        <v>10</v>
      </c>
      <c r="G53" s="6">
        <v>433</v>
      </c>
      <c r="H53" s="6">
        <f>2532+1658</f>
        <v>4190</v>
      </c>
      <c r="I53" s="6">
        <v>4576</v>
      </c>
    </row>
    <row r="54" spans="2:9" x14ac:dyDescent="0.35">
      <c r="B54" s="21"/>
      <c r="C54" s="21"/>
      <c r="D54" s="4" t="s">
        <v>29</v>
      </c>
      <c r="E54" s="6">
        <v>293</v>
      </c>
      <c r="F54" s="6">
        <v>40</v>
      </c>
      <c r="G54" s="6">
        <v>274</v>
      </c>
      <c r="H54" s="6">
        <f>401+196</f>
        <v>597</v>
      </c>
      <c r="I54" s="6">
        <v>378</v>
      </c>
    </row>
    <row r="55" spans="2:9" x14ac:dyDescent="0.35">
      <c r="B55" s="20" t="s">
        <v>14</v>
      </c>
      <c r="C55" s="20" t="s">
        <v>15</v>
      </c>
      <c r="D55" s="4" t="s">
        <v>30</v>
      </c>
      <c r="E55" s="6">
        <v>499</v>
      </c>
      <c r="F55" s="6">
        <v>213</v>
      </c>
      <c r="G55" s="6">
        <v>138</v>
      </c>
      <c r="H55" s="6">
        <f>723+233</f>
        <v>956</v>
      </c>
      <c r="I55" s="6">
        <v>1586</v>
      </c>
    </row>
    <row r="56" spans="2:9" x14ac:dyDescent="0.35">
      <c r="B56" s="21"/>
      <c r="C56" s="21"/>
      <c r="D56" s="4" t="s">
        <v>29</v>
      </c>
      <c r="E56" s="6">
        <v>69</v>
      </c>
      <c r="F56" s="6">
        <v>17</v>
      </c>
      <c r="G56" s="6">
        <v>31</v>
      </c>
      <c r="H56" s="6">
        <f>97+43</f>
        <v>140</v>
      </c>
      <c r="I56" s="6">
        <v>155</v>
      </c>
    </row>
    <row r="57" spans="2:9" x14ac:dyDescent="0.35">
      <c r="B57" s="20" t="s">
        <v>16</v>
      </c>
      <c r="C57" s="20" t="s">
        <v>17</v>
      </c>
      <c r="D57" s="4" t="s">
        <v>30</v>
      </c>
      <c r="E57" s="6">
        <v>610</v>
      </c>
      <c r="F57" s="6">
        <v>601</v>
      </c>
      <c r="G57" s="6">
        <v>1766</v>
      </c>
      <c r="H57" s="6">
        <f>3798+2182</f>
        <v>5980</v>
      </c>
      <c r="I57" s="6">
        <v>3211</v>
      </c>
    </row>
    <row r="58" spans="2:9" x14ac:dyDescent="0.35">
      <c r="B58" s="21"/>
      <c r="C58" s="21"/>
      <c r="D58" s="4" t="s">
        <v>29</v>
      </c>
      <c r="E58" s="6">
        <v>127</v>
      </c>
      <c r="F58" s="6">
        <v>92</v>
      </c>
      <c r="G58" s="6">
        <v>156</v>
      </c>
      <c r="H58" s="6">
        <f>197+80</f>
        <v>277</v>
      </c>
      <c r="I58" s="6">
        <v>186</v>
      </c>
    </row>
    <row r="59" spans="2:9" x14ac:dyDescent="0.35">
      <c r="B59" s="20" t="s">
        <v>18</v>
      </c>
      <c r="C59" s="20" t="s">
        <v>19</v>
      </c>
      <c r="D59" s="4" t="s">
        <v>30</v>
      </c>
      <c r="E59" s="6">
        <v>293</v>
      </c>
      <c r="F59" s="6">
        <v>84</v>
      </c>
      <c r="G59" s="6">
        <v>0</v>
      </c>
      <c r="H59" s="6">
        <f>83+6</f>
        <v>89</v>
      </c>
      <c r="I59" s="6">
        <v>312</v>
      </c>
    </row>
    <row r="60" spans="2:9" x14ac:dyDescent="0.35">
      <c r="B60" s="21"/>
      <c r="C60" s="21"/>
      <c r="D60" s="4" t="s">
        <v>29</v>
      </c>
      <c r="E60" s="6">
        <v>61</v>
      </c>
      <c r="F60" s="6">
        <v>1</v>
      </c>
      <c r="G60" s="6">
        <v>38</v>
      </c>
      <c r="H60" s="6">
        <f>54+17</f>
        <v>71</v>
      </c>
      <c r="I60" s="6">
        <v>45</v>
      </c>
    </row>
    <row r="61" spans="2:9" x14ac:dyDescent="0.35">
      <c r="B61" s="20" t="s">
        <v>20</v>
      </c>
      <c r="C61" s="20" t="s">
        <v>21</v>
      </c>
      <c r="D61" s="4" t="s">
        <v>30</v>
      </c>
      <c r="E61" s="6">
        <v>0</v>
      </c>
      <c r="F61" s="6">
        <v>261</v>
      </c>
      <c r="G61" s="6">
        <v>449</v>
      </c>
      <c r="H61" s="6">
        <f>977+756</f>
        <v>1733</v>
      </c>
      <c r="I61" s="6">
        <v>391</v>
      </c>
    </row>
    <row r="62" spans="2:9" x14ac:dyDescent="0.35">
      <c r="B62" s="21"/>
      <c r="C62" s="21"/>
      <c r="D62" s="4" t="s">
        <v>29</v>
      </c>
      <c r="E62" s="6">
        <v>18</v>
      </c>
      <c r="F62" s="6">
        <v>7</v>
      </c>
      <c r="G62" s="6">
        <v>120</v>
      </c>
      <c r="H62" s="6">
        <f>50+38</f>
        <v>88</v>
      </c>
      <c r="I62" s="6">
        <v>33</v>
      </c>
    </row>
    <row r="63" spans="2:9" x14ac:dyDescent="0.35">
      <c r="B63" s="20" t="s">
        <v>23</v>
      </c>
      <c r="C63" s="20" t="s">
        <v>24</v>
      </c>
      <c r="D63" s="4" t="s">
        <v>30</v>
      </c>
      <c r="E63" s="6">
        <v>68</v>
      </c>
      <c r="F63" s="6"/>
      <c r="G63" s="6">
        <v>64</v>
      </c>
      <c r="H63" s="6">
        <f>508+253</f>
        <v>761</v>
      </c>
      <c r="I63" s="6">
        <v>1062</v>
      </c>
    </row>
    <row r="64" spans="2:9" x14ac:dyDescent="0.35">
      <c r="B64" s="21"/>
      <c r="C64" s="21"/>
      <c r="D64" s="4" t="s">
        <v>29</v>
      </c>
      <c r="E64" s="6">
        <v>21</v>
      </c>
      <c r="F64" s="6">
        <v>1</v>
      </c>
      <c r="G64" s="6">
        <v>43</v>
      </c>
      <c r="H64" s="6">
        <f>85+55</f>
        <v>140</v>
      </c>
      <c r="I64" s="6">
        <v>81</v>
      </c>
    </row>
    <row r="65" spans="2:9" x14ac:dyDescent="0.35">
      <c r="C65" s="3" t="s">
        <v>121</v>
      </c>
      <c r="D65" s="4" t="s">
        <v>30</v>
      </c>
      <c r="E65" s="6">
        <v>0</v>
      </c>
      <c r="F65" s="6">
        <v>0</v>
      </c>
      <c r="G65" s="6">
        <v>0</v>
      </c>
      <c r="H65" s="6">
        <v>0</v>
      </c>
      <c r="I65" s="6">
        <v>441</v>
      </c>
    </row>
    <row r="66" spans="2:9" x14ac:dyDescent="0.35">
      <c r="D66" s="4" t="s">
        <v>29</v>
      </c>
      <c r="E66" s="6">
        <v>0</v>
      </c>
      <c r="F66" s="6">
        <v>0</v>
      </c>
      <c r="G66" s="6">
        <v>0</v>
      </c>
      <c r="H66" s="6">
        <v>0</v>
      </c>
      <c r="I66" s="6">
        <v>25</v>
      </c>
    </row>
    <row r="67" spans="2:9" x14ac:dyDescent="0.35">
      <c r="D67" s="4"/>
      <c r="E67" s="6"/>
    </row>
    <row r="68" spans="2:9" x14ac:dyDescent="0.35">
      <c r="C68" s="3" t="s">
        <v>25</v>
      </c>
      <c r="D68" s="4" t="s">
        <v>30</v>
      </c>
      <c r="E68" s="6">
        <f>+E49+E51+E53+E55+E57+E59+E61+E63+E65</f>
        <v>3289</v>
      </c>
      <c r="F68" s="6">
        <f t="shared" ref="F68:I68" si="4">+F49+F51+F53+F55+F57+F59+F61+F63+F65</f>
        <v>2922</v>
      </c>
      <c r="G68" s="6">
        <f t="shared" si="4"/>
        <v>3935</v>
      </c>
      <c r="H68" s="6">
        <f t="shared" si="4"/>
        <v>17918</v>
      </c>
      <c r="I68" s="6">
        <f t="shared" si="4"/>
        <v>15785</v>
      </c>
    </row>
    <row r="69" spans="2:9" x14ac:dyDescent="0.35">
      <c r="D69" s="4" t="s">
        <v>29</v>
      </c>
      <c r="E69" s="6">
        <f>+E50+E52+E54+E56+E58+E60+E62+E64+E66</f>
        <v>1081</v>
      </c>
      <c r="F69" s="6">
        <f t="shared" ref="F69:I69" si="5">+F50+F52+F54+F56+F58+F60+F62+F64+F66</f>
        <v>327</v>
      </c>
      <c r="G69" s="6">
        <f t="shared" si="5"/>
        <v>1053</v>
      </c>
      <c r="H69" s="6">
        <f t="shared" si="5"/>
        <v>1844</v>
      </c>
      <c r="I69" s="6">
        <f t="shared" si="5"/>
        <v>1211</v>
      </c>
    </row>
    <row r="70" spans="2:9" x14ac:dyDescent="0.35">
      <c r="B70" s="4"/>
      <c r="C70" s="4"/>
      <c r="D70" s="4"/>
      <c r="E70" s="5"/>
    </row>
    <row r="71" spans="2:9" x14ac:dyDescent="0.35">
      <c r="B71" s="22" t="s">
        <v>31</v>
      </c>
      <c r="C71" s="22"/>
      <c r="D71" s="22"/>
      <c r="E71" s="2">
        <v>2020</v>
      </c>
      <c r="F71" s="2">
        <v>2021</v>
      </c>
      <c r="G71" s="2">
        <v>2022</v>
      </c>
      <c r="H71" s="2">
        <v>2023</v>
      </c>
      <c r="I71" s="2">
        <v>2024</v>
      </c>
    </row>
    <row r="72" spans="2:9" x14ac:dyDescent="0.35">
      <c r="B72" s="20" t="s">
        <v>8</v>
      </c>
      <c r="C72" s="20" t="s">
        <v>9</v>
      </c>
      <c r="D72" s="4" t="s">
        <v>32</v>
      </c>
      <c r="E72" s="6">
        <v>8138</v>
      </c>
      <c r="F72" s="6">
        <v>8302</v>
      </c>
      <c r="G72" s="6">
        <v>15917</v>
      </c>
      <c r="H72" s="6">
        <v>15040</v>
      </c>
      <c r="I72" s="6">
        <v>17849</v>
      </c>
    </row>
    <row r="73" spans="2:9" x14ac:dyDescent="0.35">
      <c r="B73" s="21"/>
      <c r="C73" s="21"/>
      <c r="D73" s="4" t="s">
        <v>33</v>
      </c>
      <c r="E73" s="6">
        <v>39</v>
      </c>
      <c r="F73" s="6">
        <v>46</v>
      </c>
      <c r="G73" s="6">
        <v>45</v>
      </c>
      <c r="H73" s="6">
        <v>45</v>
      </c>
      <c r="I73" s="6">
        <v>44</v>
      </c>
    </row>
    <row r="74" spans="2:9" x14ac:dyDescent="0.35">
      <c r="B74" s="21"/>
      <c r="C74" s="21"/>
      <c r="D74" s="4" t="s">
        <v>34</v>
      </c>
      <c r="E74" s="6">
        <v>314573</v>
      </c>
      <c r="F74" s="6">
        <v>385375</v>
      </c>
      <c r="G74" s="6">
        <v>721839</v>
      </c>
      <c r="H74" s="6">
        <f>11299*60</f>
        <v>677940</v>
      </c>
      <c r="I74" s="6">
        <f>13072*60</f>
        <v>784320</v>
      </c>
    </row>
    <row r="75" spans="2:9" x14ac:dyDescent="0.35">
      <c r="B75" s="20" t="s">
        <v>10</v>
      </c>
      <c r="C75" s="20" t="s">
        <v>11</v>
      </c>
      <c r="D75" s="4" t="s">
        <v>32</v>
      </c>
      <c r="E75" s="6">
        <v>1321</v>
      </c>
      <c r="F75" s="6">
        <v>1960</v>
      </c>
      <c r="G75" s="6">
        <v>3419</v>
      </c>
      <c r="H75" s="6">
        <v>4876</v>
      </c>
      <c r="I75" s="6">
        <v>6149</v>
      </c>
    </row>
    <row r="76" spans="2:9" x14ac:dyDescent="0.35">
      <c r="B76" s="21"/>
      <c r="C76" s="21"/>
      <c r="D76" s="4" t="s">
        <v>33</v>
      </c>
      <c r="E76" s="6">
        <v>40</v>
      </c>
      <c r="F76" s="6">
        <v>34</v>
      </c>
      <c r="G76" s="6">
        <v>35</v>
      </c>
      <c r="H76" s="6">
        <v>38</v>
      </c>
      <c r="I76" s="6">
        <v>39</v>
      </c>
    </row>
    <row r="77" spans="2:9" x14ac:dyDescent="0.35">
      <c r="B77" s="21"/>
      <c r="C77" s="21"/>
      <c r="D77" s="4" t="s">
        <v>34</v>
      </c>
      <c r="E77" s="6">
        <v>53035</v>
      </c>
      <c r="F77" s="6">
        <v>66026</v>
      </c>
      <c r="G77" s="6">
        <v>119927</v>
      </c>
      <c r="H77" s="6">
        <f>3108*60</f>
        <v>186480</v>
      </c>
      <c r="I77" s="6">
        <f>4024*60</f>
        <v>241440</v>
      </c>
    </row>
    <row r="78" spans="2:9" x14ac:dyDescent="0.35">
      <c r="B78" s="20" t="s">
        <v>12</v>
      </c>
      <c r="C78" s="20" t="s">
        <v>13</v>
      </c>
      <c r="D78" s="4" t="s">
        <v>32</v>
      </c>
      <c r="E78" s="6">
        <v>1898</v>
      </c>
      <c r="F78" s="6">
        <v>2851</v>
      </c>
      <c r="G78" s="6">
        <v>5448</v>
      </c>
      <c r="H78" s="6">
        <v>6421</v>
      </c>
      <c r="I78" s="6">
        <v>6563</v>
      </c>
    </row>
    <row r="79" spans="2:9" x14ac:dyDescent="0.35">
      <c r="B79" s="21"/>
      <c r="C79" s="21"/>
      <c r="D79" s="4" t="s">
        <v>33</v>
      </c>
      <c r="E79" s="6">
        <v>37</v>
      </c>
      <c r="F79" s="6">
        <v>39</v>
      </c>
      <c r="G79" s="6">
        <v>42</v>
      </c>
      <c r="H79" s="6">
        <v>39</v>
      </c>
      <c r="I79" s="6">
        <v>37</v>
      </c>
    </row>
    <row r="80" spans="2:9" x14ac:dyDescent="0.35">
      <c r="B80" s="21"/>
      <c r="C80" s="21"/>
      <c r="D80" s="4" t="s">
        <v>34</v>
      </c>
      <c r="E80" s="6">
        <v>69461</v>
      </c>
      <c r="F80" s="6">
        <v>110724</v>
      </c>
      <c r="G80" s="6">
        <v>229022</v>
      </c>
      <c r="H80" s="6">
        <f>4188*60</f>
        <v>251280</v>
      </c>
      <c r="I80" s="6">
        <f>4026*60</f>
        <v>241560</v>
      </c>
    </row>
    <row r="81" spans="2:9" x14ac:dyDescent="0.35">
      <c r="B81" s="20" t="s">
        <v>14</v>
      </c>
      <c r="C81" s="20" t="s">
        <v>15</v>
      </c>
      <c r="D81" s="4" t="s">
        <v>32</v>
      </c>
      <c r="E81" s="6">
        <v>687</v>
      </c>
      <c r="F81" s="6">
        <v>441</v>
      </c>
      <c r="G81" s="6">
        <v>1145</v>
      </c>
      <c r="H81" s="6">
        <v>1509</v>
      </c>
      <c r="I81" s="6">
        <v>1715</v>
      </c>
    </row>
    <row r="82" spans="2:9" x14ac:dyDescent="0.35">
      <c r="B82" s="21"/>
      <c r="C82" s="21"/>
      <c r="D82" s="4" t="s">
        <v>33</v>
      </c>
      <c r="E82" s="6">
        <v>31</v>
      </c>
      <c r="F82" s="6">
        <v>24</v>
      </c>
      <c r="G82" s="6">
        <v>33</v>
      </c>
      <c r="H82" s="6">
        <v>29</v>
      </c>
      <c r="I82" s="6">
        <v>29</v>
      </c>
    </row>
    <row r="83" spans="2:9" x14ac:dyDescent="0.35">
      <c r="B83" s="21"/>
      <c r="C83" s="21"/>
      <c r="D83" s="4" t="s">
        <v>34</v>
      </c>
      <c r="E83" s="6">
        <v>21360</v>
      </c>
      <c r="F83" s="6">
        <v>10732</v>
      </c>
      <c r="G83" s="6">
        <v>40311</v>
      </c>
      <c r="H83" s="6">
        <f>805*60</f>
        <v>48300</v>
      </c>
      <c r="I83" s="6">
        <f>820*60</f>
        <v>49200</v>
      </c>
    </row>
    <row r="84" spans="2:9" x14ac:dyDescent="0.35">
      <c r="B84" s="20" t="s">
        <v>16</v>
      </c>
      <c r="C84" s="20" t="s">
        <v>17</v>
      </c>
      <c r="D84" s="4" t="s">
        <v>32</v>
      </c>
      <c r="E84" s="6">
        <v>1018</v>
      </c>
      <c r="F84" s="6">
        <v>915</v>
      </c>
      <c r="G84" s="6">
        <v>2254</v>
      </c>
      <c r="H84" s="6">
        <v>3115</v>
      </c>
      <c r="I84" s="6">
        <v>3114</v>
      </c>
    </row>
    <row r="85" spans="2:9" x14ac:dyDescent="0.35">
      <c r="B85" s="21"/>
      <c r="C85" s="21"/>
      <c r="D85" s="4" t="s">
        <v>33</v>
      </c>
      <c r="E85" s="6">
        <v>50</v>
      </c>
      <c r="F85" s="6">
        <v>44</v>
      </c>
      <c r="G85" s="6">
        <v>32</v>
      </c>
      <c r="H85" s="6">
        <v>30</v>
      </c>
      <c r="I85" s="6">
        <v>31</v>
      </c>
    </row>
    <row r="86" spans="2:9" x14ac:dyDescent="0.35">
      <c r="B86" s="21"/>
      <c r="C86" s="21"/>
      <c r="D86" s="4" t="s">
        <v>34</v>
      </c>
      <c r="E86" s="6">
        <v>50746</v>
      </c>
      <c r="F86" s="6">
        <v>40439</v>
      </c>
      <c r="G86" s="6">
        <v>72598</v>
      </c>
      <c r="H86" s="6">
        <f>1538*60</f>
        <v>92280</v>
      </c>
      <c r="I86" s="6">
        <f>1584*60</f>
        <v>95040</v>
      </c>
    </row>
    <row r="87" spans="2:9" x14ac:dyDescent="0.35">
      <c r="B87" s="20" t="s">
        <v>18</v>
      </c>
      <c r="C87" s="20" t="s">
        <v>19</v>
      </c>
      <c r="D87" s="4" t="s">
        <v>32</v>
      </c>
      <c r="E87" s="6">
        <v>317</v>
      </c>
      <c r="F87" s="6">
        <v>367</v>
      </c>
      <c r="G87" s="6">
        <v>650</v>
      </c>
      <c r="H87" s="6">
        <v>675</v>
      </c>
      <c r="I87" s="6">
        <v>747</v>
      </c>
    </row>
    <row r="88" spans="2:9" x14ac:dyDescent="0.35">
      <c r="B88" s="21"/>
      <c r="C88" s="21"/>
      <c r="D88" s="4" t="s">
        <v>33</v>
      </c>
      <c r="E88" s="6">
        <v>56</v>
      </c>
      <c r="F88" s="6">
        <v>40</v>
      </c>
      <c r="G88" s="6">
        <v>47</v>
      </c>
      <c r="H88" s="6">
        <v>48</v>
      </c>
      <c r="I88" s="6">
        <v>42</v>
      </c>
    </row>
    <row r="89" spans="2:9" x14ac:dyDescent="0.35">
      <c r="B89" s="21"/>
      <c r="C89" s="21"/>
      <c r="D89" s="4" t="s">
        <v>34</v>
      </c>
      <c r="E89" s="6">
        <v>17635</v>
      </c>
      <c r="F89" s="6">
        <v>14660</v>
      </c>
      <c r="G89" s="6">
        <v>30150</v>
      </c>
      <c r="H89" s="6">
        <f>541*60</f>
        <v>32460</v>
      </c>
      <c r="I89" s="6">
        <f>528*60</f>
        <v>31680</v>
      </c>
    </row>
    <row r="90" spans="2:9" x14ac:dyDescent="0.35">
      <c r="B90" s="20" t="s">
        <v>20</v>
      </c>
      <c r="C90" s="20" t="s">
        <v>21</v>
      </c>
      <c r="D90" s="4" t="s">
        <v>32</v>
      </c>
      <c r="E90" s="6">
        <v>199</v>
      </c>
      <c r="F90" s="6">
        <v>130</v>
      </c>
      <c r="G90" s="6">
        <v>284</v>
      </c>
      <c r="H90" s="6">
        <v>517</v>
      </c>
      <c r="I90" s="6">
        <v>611</v>
      </c>
    </row>
    <row r="91" spans="2:9" x14ac:dyDescent="0.35">
      <c r="B91" s="21"/>
      <c r="C91" s="21"/>
      <c r="D91" s="4" t="s">
        <v>33</v>
      </c>
      <c r="E91" s="6">
        <v>45</v>
      </c>
      <c r="F91" s="6">
        <v>28</v>
      </c>
      <c r="G91" s="6">
        <v>33</v>
      </c>
      <c r="H91" s="6">
        <v>32</v>
      </c>
      <c r="I91" s="6">
        <v>36</v>
      </c>
    </row>
    <row r="92" spans="2:9" x14ac:dyDescent="0.35">
      <c r="B92" s="21"/>
      <c r="C92" s="21"/>
      <c r="D92" s="4" t="s">
        <v>34</v>
      </c>
      <c r="E92" s="6">
        <v>8994</v>
      </c>
      <c r="F92" s="6">
        <v>3634</v>
      </c>
      <c r="G92" s="6">
        <v>9272</v>
      </c>
      <c r="H92" s="6">
        <f>275*60</f>
        <v>16500</v>
      </c>
      <c r="I92" s="6">
        <f>371*60</f>
        <v>22260</v>
      </c>
    </row>
    <row r="93" spans="2:9" x14ac:dyDescent="0.35">
      <c r="B93" s="20" t="s">
        <v>23</v>
      </c>
      <c r="C93" s="20" t="s">
        <v>24</v>
      </c>
      <c r="D93" s="4" t="s">
        <v>32</v>
      </c>
      <c r="E93" s="6">
        <v>925</v>
      </c>
      <c r="F93" s="6">
        <v>1506</v>
      </c>
      <c r="G93" s="6">
        <v>2358</v>
      </c>
      <c r="H93" s="6">
        <v>2813</v>
      </c>
      <c r="I93" s="6">
        <v>2127</v>
      </c>
    </row>
    <row r="94" spans="2:9" x14ac:dyDescent="0.35">
      <c r="B94" s="21"/>
      <c r="C94" s="21"/>
      <c r="D94" s="4" t="s">
        <v>33</v>
      </c>
      <c r="E94" s="6">
        <v>57</v>
      </c>
      <c r="F94" s="6">
        <v>61</v>
      </c>
      <c r="G94" s="6">
        <v>70</v>
      </c>
      <c r="H94" s="6">
        <v>73</v>
      </c>
      <c r="I94" s="6">
        <v>44</v>
      </c>
    </row>
    <row r="95" spans="2:9" x14ac:dyDescent="0.35">
      <c r="B95" s="21"/>
      <c r="C95" s="21"/>
      <c r="D95" s="4" t="s">
        <v>34</v>
      </c>
      <c r="E95" s="6">
        <v>53040</v>
      </c>
      <c r="F95" s="6">
        <v>92094</v>
      </c>
      <c r="G95" s="6">
        <v>165538</v>
      </c>
      <c r="H95" s="6">
        <f>3426*60</f>
        <v>205560</v>
      </c>
      <c r="I95" s="6">
        <f>1546*60</f>
        <v>92760</v>
      </c>
    </row>
    <row r="96" spans="2:9" x14ac:dyDescent="0.35">
      <c r="D96" s="4"/>
      <c r="E96" s="6"/>
    </row>
    <row r="97" spans="1:10" x14ac:dyDescent="0.35">
      <c r="C97" s="3" t="s">
        <v>25</v>
      </c>
      <c r="D97" s="4" t="s">
        <v>32</v>
      </c>
      <c r="E97" s="6">
        <f>+E72+E75+E78+E81+E84+E87+E90+E93</f>
        <v>14503</v>
      </c>
      <c r="F97" s="6">
        <f t="shared" ref="F97:G97" si="6">+F72+F75+F78+F81+F84+F87+F90+F93</f>
        <v>16472</v>
      </c>
      <c r="G97" s="6">
        <f t="shared" si="6"/>
        <v>31475</v>
      </c>
      <c r="H97" s="6">
        <f t="shared" ref="H97:I97" si="7">+H72+H75+H78+H81+H84+H87+H90+H93</f>
        <v>34966</v>
      </c>
      <c r="I97" s="6">
        <f t="shared" si="7"/>
        <v>38875</v>
      </c>
    </row>
    <row r="98" spans="1:10" x14ac:dyDescent="0.35">
      <c r="D98" s="4" t="s">
        <v>33</v>
      </c>
      <c r="E98" s="6">
        <f>+E99/E97</f>
        <v>40.601530717782531</v>
      </c>
      <c r="F98" s="6">
        <f t="shared" ref="F98:G98" si="8">+F99/F97</f>
        <v>43.934191355026712</v>
      </c>
      <c r="G98" s="6">
        <f t="shared" si="8"/>
        <v>44.119364575059571</v>
      </c>
      <c r="H98" s="6">
        <f t="shared" ref="H98:I98" si="9">+H99/H97</f>
        <v>43.207687467825885</v>
      </c>
      <c r="I98" s="6">
        <f t="shared" si="9"/>
        <v>40.083858520900321</v>
      </c>
    </row>
    <row r="99" spans="1:10" x14ac:dyDescent="0.35">
      <c r="D99" s="4" t="s">
        <v>34</v>
      </c>
      <c r="E99" s="6">
        <f>+E74+E77+E80+E83+E86+E89+E92+E95</f>
        <v>588844</v>
      </c>
      <c r="F99" s="6">
        <f t="shared" ref="F99:G99" si="10">+F74+F77+F80+F83+F86+F89+F92+F95</f>
        <v>723684</v>
      </c>
      <c r="G99" s="6">
        <f t="shared" si="10"/>
        <v>1388657</v>
      </c>
      <c r="H99" s="6">
        <f t="shared" ref="H99:I99" si="11">+H74+H77+H80+H83+H86+H89+H92+H95</f>
        <v>1510800</v>
      </c>
      <c r="I99" s="6">
        <f t="shared" si="11"/>
        <v>1558260</v>
      </c>
    </row>
    <row r="100" spans="1:10" x14ac:dyDescent="0.35">
      <c r="D100" s="4"/>
      <c r="E100" s="6"/>
      <c r="F100" s="6"/>
      <c r="G100" s="6"/>
    </row>
    <row r="101" spans="1:10" ht="31" x14ac:dyDescent="0.35">
      <c r="A101" s="1" t="s">
        <v>0</v>
      </c>
      <c r="B101" s="1" t="s">
        <v>1</v>
      </c>
      <c r="C101" s="1" t="s">
        <v>2</v>
      </c>
      <c r="D101" s="1" t="s">
        <v>3</v>
      </c>
      <c r="E101" s="2" t="s">
        <v>4</v>
      </c>
      <c r="F101" s="2" t="s">
        <v>5</v>
      </c>
      <c r="G101" s="2" t="s">
        <v>6</v>
      </c>
      <c r="H101" s="2" t="s">
        <v>111</v>
      </c>
      <c r="I101" s="11" t="s">
        <v>114</v>
      </c>
    </row>
    <row r="102" spans="1:10" x14ac:dyDescent="0.35">
      <c r="A102" s="20" t="s">
        <v>35</v>
      </c>
      <c r="B102" s="4" t="s">
        <v>36</v>
      </c>
      <c r="C102" s="4" t="s">
        <v>37</v>
      </c>
      <c r="D102" s="4" t="s">
        <v>36</v>
      </c>
      <c r="E102" s="5">
        <v>36548</v>
      </c>
      <c r="F102" s="5">
        <v>18864</v>
      </c>
      <c r="G102" s="5">
        <v>7266</v>
      </c>
      <c r="H102" s="5">
        <v>3167</v>
      </c>
      <c r="I102" s="5">
        <v>3320</v>
      </c>
    </row>
    <row r="103" spans="1:10" x14ac:dyDescent="0.35">
      <c r="A103" s="21"/>
      <c r="B103" s="4" t="s">
        <v>38</v>
      </c>
      <c r="C103" s="4" t="s">
        <v>39</v>
      </c>
      <c r="D103" s="4" t="s">
        <v>38</v>
      </c>
      <c r="E103" s="5">
        <v>28216</v>
      </c>
      <c r="F103" s="5">
        <v>18561</v>
      </c>
      <c r="G103" s="5">
        <v>7315</v>
      </c>
      <c r="H103" s="5">
        <v>3933</v>
      </c>
      <c r="I103" s="5">
        <v>3845</v>
      </c>
    </row>
    <row r="104" spans="1:10" x14ac:dyDescent="0.35">
      <c r="A104" s="21"/>
      <c r="B104" s="4" t="s">
        <v>42</v>
      </c>
      <c r="C104" s="4" t="s">
        <v>43</v>
      </c>
      <c r="D104" s="4" t="s">
        <v>44</v>
      </c>
      <c r="E104" s="5">
        <v>1581</v>
      </c>
      <c r="F104" s="6">
        <v>198</v>
      </c>
      <c r="G104" s="6">
        <v>145</v>
      </c>
      <c r="H104" s="6">
        <v>53</v>
      </c>
      <c r="I104" s="6">
        <v>107</v>
      </c>
    </row>
    <row r="105" spans="1:10" x14ac:dyDescent="0.35">
      <c r="A105" s="21"/>
      <c r="B105" s="20" t="s">
        <v>20</v>
      </c>
      <c r="C105" s="4" t="s">
        <v>45</v>
      </c>
      <c r="D105" s="4" t="s">
        <v>46</v>
      </c>
      <c r="E105" s="5">
        <v>3436</v>
      </c>
      <c r="F105" s="6">
        <v>2619</v>
      </c>
      <c r="G105" s="6">
        <v>775</v>
      </c>
      <c r="H105" s="6">
        <v>349</v>
      </c>
      <c r="I105" s="6">
        <v>292</v>
      </c>
    </row>
    <row r="106" spans="1:10" x14ac:dyDescent="0.35">
      <c r="A106" s="21"/>
      <c r="B106" s="21"/>
      <c r="C106" s="4" t="s">
        <v>47</v>
      </c>
      <c r="D106" s="4" t="s">
        <v>48</v>
      </c>
      <c r="E106" s="5">
        <v>1327</v>
      </c>
      <c r="F106" s="6">
        <v>1186</v>
      </c>
      <c r="G106" s="6">
        <v>668</v>
      </c>
      <c r="H106" s="6">
        <v>461</v>
      </c>
      <c r="I106" s="6">
        <v>332</v>
      </c>
    </row>
    <row r="107" spans="1:10" x14ac:dyDescent="0.35">
      <c r="A107" s="21"/>
      <c r="B107" s="21"/>
      <c r="C107" s="4" t="s">
        <v>49</v>
      </c>
      <c r="D107" s="4" t="s">
        <v>50</v>
      </c>
      <c r="E107" s="5">
        <v>8221</v>
      </c>
      <c r="F107" s="6">
        <v>5170</v>
      </c>
      <c r="G107" s="6">
        <v>2107</v>
      </c>
      <c r="H107" s="6">
        <v>1112</v>
      </c>
      <c r="I107" s="6">
        <v>914</v>
      </c>
    </row>
    <row r="108" spans="1:10" x14ac:dyDescent="0.35">
      <c r="A108" s="21"/>
      <c r="B108" s="4" t="s">
        <v>51</v>
      </c>
      <c r="C108" s="4" t="s">
        <v>52</v>
      </c>
      <c r="D108" s="4" t="s">
        <v>51</v>
      </c>
      <c r="E108" s="5">
        <v>14292</v>
      </c>
      <c r="F108" s="6">
        <v>4542</v>
      </c>
      <c r="G108" s="6">
        <v>1895</v>
      </c>
      <c r="H108" s="6">
        <v>846</v>
      </c>
      <c r="I108" s="6">
        <v>992</v>
      </c>
    </row>
    <row r="109" spans="1:10" x14ac:dyDescent="0.35">
      <c r="B109" s="4"/>
      <c r="C109" s="4" t="s">
        <v>123</v>
      </c>
      <c r="D109" s="4" t="s">
        <v>124</v>
      </c>
      <c r="E109" s="5"/>
      <c r="F109" s="6">
        <v>56</v>
      </c>
      <c r="G109" s="6">
        <v>56</v>
      </c>
      <c r="H109" s="6">
        <v>141</v>
      </c>
      <c r="I109" s="6">
        <v>4</v>
      </c>
    </row>
    <row r="110" spans="1:10" x14ac:dyDescent="0.35">
      <c r="B110" s="4"/>
      <c r="C110" s="4"/>
      <c r="D110" s="4"/>
      <c r="E110" s="5"/>
      <c r="F110" s="5"/>
      <c r="G110" s="5"/>
      <c r="H110" s="5"/>
      <c r="I110" s="5"/>
    </row>
    <row r="111" spans="1:10" x14ac:dyDescent="0.35">
      <c r="B111" s="4"/>
      <c r="C111" s="4"/>
      <c r="D111" s="16" t="s">
        <v>25</v>
      </c>
      <c r="E111" s="17">
        <f>SUM(E102:E108)</f>
        <v>93621</v>
      </c>
      <c r="F111" s="17">
        <f>SUM(F102:F109)</f>
        <v>51196</v>
      </c>
      <c r="G111" s="17">
        <f t="shared" ref="G111:I111" si="12">SUM(G102:G109)</f>
        <v>20227</v>
      </c>
      <c r="H111" s="17">
        <f t="shared" si="12"/>
        <v>10062</v>
      </c>
      <c r="I111" s="17">
        <f t="shared" si="12"/>
        <v>9806</v>
      </c>
      <c r="J111" s="17"/>
    </row>
    <row r="112" spans="1:10" x14ac:dyDescent="0.35">
      <c r="B112" s="4"/>
      <c r="C112" s="4"/>
      <c r="D112" s="4"/>
      <c r="E112" s="5"/>
      <c r="F112" s="13"/>
      <c r="G112" s="5"/>
      <c r="H112" s="5"/>
      <c r="I112" s="5"/>
    </row>
    <row r="113" spans="2:9" x14ac:dyDescent="0.35">
      <c r="B113" s="4"/>
      <c r="C113" s="4"/>
      <c r="D113" s="4"/>
      <c r="E113" s="5"/>
      <c r="F113" s="5"/>
      <c r="G113" s="5"/>
    </row>
    <row r="114" spans="2:9" x14ac:dyDescent="0.35">
      <c r="B114" s="22" t="s">
        <v>26</v>
      </c>
      <c r="C114" s="22"/>
      <c r="D114" s="22"/>
      <c r="E114" s="2">
        <v>2020</v>
      </c>
      <c r="F114" s="2">
        <v>2021</v>
      </c>
      <c r="G114" s="2" t="s">
        <v>116</v>
      </c>
      <c r="H114" s="2">
        <v>2023</v>
      </c>
      <c r="I114" s="2">
        <v>2024</v>
      </c>
    </row>
    <row r="115" spans="2:9" x14ac:dyDescent="0.35">
      <c r="B115" s="20" t="s">
        <v>36</v>
      </c>
      <c r="C115" s="20" t="s">
        <v>37</v>
      </c>
      <c r="D115" s="4" t="s">
        <v>26</v>
      </c>
      <c r="E115" s="6">
        <v>56089</v>
      </c>
      <c r="F115" s="6">
        <v>87808</v>
      </c>
      <c r="G115" s="6">
        <v>109320</v>
      </c>
      <c r="H115" s="6">
        <v>105353</v>
      </c>
      <c r="I115" s="6">
        <v>100700</v>
      </c>
    </row>
    <row r="116" spans="2:9" x14ac:dyDescent="0.35">
      <c r="B116" s="21"/>
      <c r="C116" s="21"/>
      <c r="D116" s="4" t="s">
        <v>27</v>
      </c>
      <c r="E116" s="6">
        <v>59627</v>
      </c>
      <c r="F116" s="6">
        <v>66133</v>
      </c>
      <c r="G116" s="6">
        <v>71705</v>
      </c>
      <c r="H116" s="6">
        <v>83403</v>
      </c>
      <c r="I116" s="6">
        <v>88852</v>
      </c>
    </row>
    <row r="117" spans="2:9" x14ac:dyDescent="0.35">
      <c r="B117" s="21"/>
      <c r="C117" s="21"/>
      <c r="D117" s="16" t="s">
        <v>28</v>
      </c>
      <c r="E117" s="17">
        <f>+E116+E115</f>
        <v>115716</v>
      </c>
      <c r="F117" s="17">
        <f>+F116+F115</f>
        <v>153941</v>
      </c>
      <c r="G117" s="17">
        <f>+G116+G115</f>
        <v>181025</v>
      </c>
      <c r="H117" s="17">
        <f>+H116+H115</f>
        <v>188756</v>
      </c>
      <c r="I117" s="17">
        <f>+I116+I115</f>
        <v>189552</v>
      </c>
    </row>
    <row r="118" spans="2:9" x14ac:dyDescent="0.35">
      <c r="B118" s="20" t="s">
        <v>38</v>
      </c>
      <c r="C118" s="20" t="s">
        <v>39</v>
      </c>
      <c r="D118" s="4" t="s">
        <v>26</v>
      </c>
      <c r="E118" s="6">
        <v>71094</v>
      </c>
      <c r="F118" s="6">
        <v>109346</v>
      </c>
      <c r="G118" s="6">
        <v>139303</v>
      </c>
      <c r="H118" s="6">
        <v>150810</v>
      </c>
      <c r="I118" s="6">
        <v>151426</v>
      </c>
    </row>
    <row r="119" spans="2:9" x14ac:dyDescent="0.35">
      <c r="B119" s="21"/>
      <c r="C119" s="21"/>
      <c r="D119" s="4" t="s">
        <v>27</v>
      </c>
      <c r="E119" s="6">
        <v>59766</v>
      </c>
      <c r="F119" s="6">
        <v>66842</v>
      </c>
      <c r="G119" s="6">
        <v>75388</v>
      </c>
      <c r="H119" s="6">
        <v>92109</v>
      </c>
      <c r="I119" s="6">
        <v>109571</v>
      </c>
    </row>
    <row r="120" spans="2:9" x14ac:dyDescent="0.35">
      <c r="B120" s="21"/>
      <c r="C120" s="21"/>
      <c r="D120" s="16" t="s">
        <v>28</v>
      </c>
      <c r="E120" s="17">
        <f>+E119+E118</f>
        <v>130860</v>
      </c>
      <c r="F120" s="17">
        <f>+F119+F118</f>
        <v>176188</v>
      </c>
      <c r="G120" s="17">
        <f>+G119+G118</f>
        <v>214691</v>
      </c>
      <c r="H120" s="17">
        <f>+H119+H118</f>
        <v>242919</v>
      </c>
      <c r="I120" s="17">
        <f>+I119+I118</f>
        <v>260997</v>
      </c>
    </row>
    <row r="121" spans="2:9" x14ac:dyDescent="0.35">
      <c r="B121" s="20" t="s">
        <v>42</v>
      </c>
      <c r="C121" s="20" t="s">
        <v>43</v>
      </c>
      <c r="D121" s="4" t="s">
        <v>26</v>
      </c>
      <c r="E121" s="6">
        <v>973</v>
      </c>
      <c r="F121" s="6">
        <v>1816</v>
      </c>
      <c r="G121" s="6">
        <v>1879</v>
      </c>
      <c r="H121" s="6">
        <v>1150</v>
      </c>
      <c r="I121" s="6">
        <v>1122</v>
      </c>
    </row>
    <row r="122" spans="2:9" x14ac:dyDescent="0.35">
      <c r="B122" s="21"/>
      <c r="C122" s="21"/>
      <c r="D122" s="4" t="s">
        <v>27</v>
      </c>
      <c r="E122" s="6">
        <v>2306</v>
      </c>
      <c r="F122" s="6">
        <v>2759</v>
      </c>
      <c r="G122" s="6">
        <v>3093</v>
      </c>
      <c r="H122" s="6">
        <v>3498</v>
      </c>
      <c r="I122" s="6">
        <v>3583</v>
      </c>
    </row>
    <row r="123" spans="2:9" x14ac:dyDescent="0.35">
      <c r="B123" s="21"/>
      <c r="C123" s="21"/>
      <c r="D123" s="16" t="s">
        <v>28</v>
      </c>
      <c r="E123" s="17">
        <f>+E122+E121</f>
        <v>3279</v>
      </c>
      <c r="F123" s="17">
        <f>+F122+F121</f>
        <v>4575</v>
      </c>
      <c r="G123" s="17">
        <f>+G122+G121</f>
        <v>4972</v>
      </c>
      <c r="H123" s="17">
        <f>+H122+H121</f>
        <v>4648</v>
      </c>
      <c r="I123" s="17">
        <f>+I122+I121</f>
        <v>4705</v>
      </c>
    </row>
    <row r="124" spans="2:9" x14ac:dyDescent="0.35">
      <c r="B124" s="20" t="s">
        <v>20</v>
      </c>
      <c r="C124" s="20" t="s">
        <v>45</v>
      </c>
      <c r="D124" s="4" t="s">
        <v>26</v>
      </c>
      <c r="E124" s="6">
        <v>18687</v>
      </c>
      <c r="F124" s="6">
        <v>25273</v>
      </c>
      <c r="G124" s="6">
        <v>25794</v>
      </c>
      <c r="H124" s="6">
        <v>20271</v>
      </c>
      <c r="I124" s="6">
        <v>16245</v>
      </c>
    </row>
    <row r="125" spans="2:9" x14ac:dyDescent="0.35">
      <c r="B125" s="21"/>
      <c r="C125" s="21"/>
      <c r="D125" s="4" t="s">
        <v>27</v>
      </c>
      <c r="E125" s="6">
        <v>6851</v>
      </c>
      <c r="F125" s="6">
        <v>6694</v>
      </c>
      <c r="G125" s="6">
        <v>6934</v>
      </c>
      <c r="H125" s="6">
        <v>9731</v>
      </c>
      <c r="I125" s="6">
        <v>8710</v>
      </c>
    </row>
    <row r="126" spans="2:9" x14ac:dyDescent="0.35">
      <c r="B126" s="21"/>
      <c r="C126" s="21"/>
      <c r="D126" s="16" t="s">
        <v>28</v>
      </c>
      <c r="E126" s="17">
        <f>+E125+E124</f>
        <v>25538</v>
      </c>
      <c r="F126" s="17">
        <f>+F125+F124</f>
        <v>31967</v>
      </c>
      <c r="G126" s="17">
        <f>+G125+G124</f>
        <v>32728</v>
      </c>
      <c r="H126" s="17">
        <f>+H125+H124</f>
        <v>30002</v>
      </c>
      <c r="I126" s="17">
        <f>+I125+I124</f>
        <v>24955</v>
      </c>
    </row>
    <row r="127" spans="2:9" x14ac:dyDescent="0.35">
      <c r="B127" s="21"/>
      <c r="C127" s="20" t="s">
        <v>47</v>
      </c>
      <c r="D127" s="4" t="s">
        <v>26</v>
      </c>
      <c r="E127" s="6">
        <v>6857</v>
      </c>
      <c r="F127" s="6">
        <v>8230</v>
      </c>
      <c r="G127" s="6">
        <v>10540</v>
      </c>
      <c r="H127" s="6">
        <v>11286</v>
      </c>
      <c r="I127" s="6">
        <v>11539</v>
      </c>
    </row>
    <row r="128" spans="2:9" x14ac:dyDescent="0.35">
      <c r="B128" s="21"/>
      <c r="C128" s="21"/>
      <c r="D128" s="4" t="s">
        <v>27</v>
      </c>
      <c r="E128" s="6">
        <v>3864</v>
      </c>
      <c r="F128" s="6">
        <v>4556</v>
      </c>
      <c r="G128" s="6">
        <v>4723</v>
      </c>
      <c r="H128" s="6">
        <v>5927</v>
      </c>
      <c r="I128" s="6">
        <v>6873</v>
      </c>
    </row>
    <row r="129" spans="2:9" x14ac:dyDescent="0.35">
      <c r="B129" s="21"/>
      <c r="C129" s="21"/>
      <c r="D129" s="16" t="s">
        <v>28</v>
      </c>
      <c r="E129" s="17">
        <f>+E128+E127</f>
        <v>10721</v>
      </c>
      <c r="F129" s="17">
        <f>+F128+F127</f>
        <v>12786</v>
      </c>
      <c r="G129" s="17">
        <f>+G128+G127</f>
        <v>15263</v>
      </c>
      <c r="H129" s="17">
        <f>+H128+H127</f>
        <v>17213</v>
      </c>
      <c r="I129" s="17">
        <f>+I128+I127</f>
        <v>18412</v>
      </c>
    </row>
    <row r="130" spans="2:9" x14ac:dyDescent="0.35">
      <c r="B130" s="21"/>
      <c r="C130" s="20" t="s">
        <v>49</v>
      </c>
      <c r="D130" s="4" t="s">
        <v>26</v>
      </c>
      <c r="E130" s="6">
        <v>21232</v>
      </c>
      <c r="F130" s="6">
        <v>33350</v>
      </c>
      <c r="G130" s="6">
        <v>47900</v>
      </c>
      <c r="H130" s="6">
        <v>46172</v>
      </c>
      <c r="I130" s="6">
        <v>38921</v>
      </c>
    </row>
    <row r="131" spans="2:9" x14ac:dyDescent="0.35">
      <c r="B131" s="21"/>
      <c r="C131" s="21"/>
      <c r="D131" s="4" t="s">
        <v>27</v>
      </c>
      <c r="E131" s="6">
        <v>16672</v>
      </c>
      <c r="F131" s="6">
        <v>15671</v>
      </c>
      <c r="G131" s="6">
        <v>18985</v>
      </c>
      <c r="H131" s="6">
        <v>24233</v>
      </c>
      <c r="I131" s="6">
        <v>26984</v>
      </c>
    </row>
    <row r="132" spans="2:9" x14ac:dyDescent="0.35">
      <c r="B132" s="21"/>
      <c r="C132" s="21"/>
      <c r="D132" s="16" t="s">
        <v>28</v>
      </c>
      <c r="E132" s="17">
        <f>+E131+E130</f>
        <v>37904</v>
      </c>
      <c r="F132" s="17">
        <f>+F131+F130</f>
        <v>49021</v>
      </c>
      <c r="G132" s="17">
        <f>+G131+G130</f>
        <v>66885</v>
      </c>
      <c r="H132" s="17">
        <f>+H131+H130</f>
        <v>70405</v>
      </c>
      <c r="I132" s="17">
        <f>+I131+I130</f>
        <v>65905</v>
      </c>
    </row>
    <row r="133" spans="2:9" x14ac:dyDescent="0.35">
      <c r="B133" s="20" t="s">
        <v>51</v>
      </c>
      <c r="C133" s="20" t="s">
        <v>52</v>
      </c>
      <c r="D133" s="4" t="s">
        <v>26</v>
      </c>
      <c r="E133" s="6">
        <v>11411</v>
      </c>
      <c r="F133" s="6">
        <v>18931</v>
      </c>
      <c r="G133" s="6">
        <v>28961</v>
      </c>
      <c r="H133" s="6">
        <v>30775</v>
      </c>
      <c r="I133" s="6">
        <v>33862</v>
      </c>
    </row>
    <row r="134" spans="2:9" x14ac:dyDescent="0.35">
      <c r="B134" s="21"/>
      <c r="C134" s="21"/>
      <c r="D134" s="4" t="s">
        <v>27</v>
      </c>
      <c r="E134" s="6">
        <v>14862</v>
      </c>
      <c r="F134" s="6">
        <v>15667</v>
      </c>
      <c r="G134" s="6">
        <v>16326</v>
      </c>
      <c r="H134" s="6">
        <v>23549</v>
      </c>
      <c r="I134" s="6">
        <v>28627</v>
      </c>
    </row>
    <row r="135" spans="2:9" x14ac:dyDescent="0.35">
      <c r="B135" s="21"/>
      <c r="C135" s="21"/>
      <c r="D135" s="16" t="s">
        <v>28</v>
      </c>
      <c r="E135" s="17">
        <f>+E134+E133</f>
        <v>26273</v>
      </c>
      <c r="F135" s="17">
        <f>+F134+F133</f>
        <v>34598</v>
      </c>
      <c r="G135" s="17">
        <f>+G134+G133</f>
        <v>45287</v>
      </c>
      <c r="H135" s="17">
        <f>+H134+H133</f>
        <v>54324</v>
      </c>
      <c r="I135" s="17">
        <f>+I134+I133</f>
        <v>62489</v>
      </c>
    </row>
    <row r="136" spans="2:9" x14ac:dyDescent="0.35">
      <c r="C136" s="3" t="s">
        <v>123</v>
      </c>
      <c r="D136" s="4" t="s">
        <v>26</v>
      </c>
      <c r="E136" s="17">
        <v>0</v>
      </c>
      <c r="F136" s="17">
        <v>0</v>
      </c>
      <c r="G136" s="17">
        <v>0</v>
      </c>
      <c r="H136" s="17">
        <v>0</v>
      </c>
      <c r="I136" s="17">
        <v>1057</v>
      </c>
    </row>
    <row r="137" spans="2:9" x14ac:dyDescent="0.35">
      <c r="D137" s="4" t="s">
        <v>27</v>
      </c>
      <c r="E137" s="17">
        <v>0</v>
      </c>
      <c r="F137" s="17">
        <v>0</v>
      </c>
      <c r="G137" s="17">
        <v>0</v>
      </c>
      <c r="H137" s="17">
        <v>0</v>
      </c>
      <c r="I137" s="17">
        <v>43</v>
      </c>
    </row>
    <row r="138" spans="2:9" x14ac:dyDescent="0.35">
      <c r="D138" s="16" t="s">
        <v>28</v>
      </c>
      <c r="E138" s="17">
        <f>+E137+E136</f>
        <v>0</v>
      </c>
      <c r="F138" s="17">
        <f>+F137+F136</f>
        <v>0</v>
      </c>
      <c r="G138" s="17">
        <f>+G137+G136</f>
        <v>0</v>
      </c>
      <c r="H138" s="17">
        <f>+H137+H136</f>
        <v>0</v>
      </c>
      <c r="I138" s="17">
        <f>+I137+I136</f>
        <v>1100</v>
      </c>
    </row>
    <row r="139" spans="2:9" x14ac:dyDescent="0.35">
      <c r="B139" s="4"/>
      <c r="C139" s="4"/>
      <c r="D139" s="4"/>
      <c r="E139" s="5"/>
    </row>
    <row r="140" spans="2:9" x14ac:dyDescent="0.35">
      <c r="B140" s="4"/>
      <c r="C140" s="4" t="s">
        <v>25</v>
      </c>
      <c r="D140" s="16" t="s">
        <v>26</v>
      </c>
      <c r="E140" s="17">
        <f>+E115+E118+E121+E124+E127+E130+E133+E136</f>
        <v>186343</v>
      </c>
      <c r="F140" s="17">
        <f t="shared" ref="F140:I140" si="13">+F115+F118+F121+F124+F127+F130+F133+F136</f>
        <v>284754</v>
      </c>
      <c r="G140" s="17">
        <f t="shared" si="13"/>
        <v>363697</v>
      </c>
      <c r="H140" s="17">
        <f t="shared" si="13"/>
        <v>365817</v>
      </c>
      <c r="I140" s="17">
        <f t="shared" si="13"/>
        <v>354872</v>
      </c>
    </row>
    <row r="141" spans="2:9" x14ac:dyDescent="0.35">
      <c r="B141" s="4"/>
      <c r="C141" s="4"/>
      <c r="D141" s="16" t="s">
        <v>27</v>
      </c>
      <c r="E141" s="17">
        <f>+E116+E119+E122+E125+E128+E131+E134+E137</f>
        <v>163948</v>
      </c>
      <c r="F141" s="17">
        <f t="shared" ref="F141:I141" si="14">+F116+F119+F122+F125+F128+F131+F134+F137</f>
        <v>178322</v>
      </c>
      <c r="G141" s="17">
        <f t="shared" si="14"/>
        <v>197154</v>
      </c>
      <c r="H141" s="17">
        <f t="shared" si="14"/>
        <v>242450</v>
      </c>
      <c r="I141" s="17">
        <f t="shared" si="14"/>
        <v>273243</v>
      </c>
    </row>
    <row r="142" spans="2:9" x14ac:dyDescent="0.35">
      <c r="B142" s="4"/>
      <c r="C142" s="4"/>
      <c r="D142" s="16" t="s">
        <v>28</v>
      </c>
      <c r="E142" s="17">
        <f>+E117+E120+E123+E126+E129+E132+E135+E138</f>
        <v>350291</v>
      </c>
      <c r="F142" s="17">
        <f t="shared" ref="F142:I142" si="15">+F117+F120+F123+F126+F129+F132+F135+F138</f>
        <v>463076</v>
      </c>
      <c r="G142" s="17">
        <f t="shared" si="15"/>
        <v>560851</v>
      </c>
      <c r="H142" s="17">
        <f t="shared" si="15"/>
        <v>608267</v>
      </c>
      <c r="I142" s="17">
        <f t="shared" si="15"/>
        <v>628115</v>
      </c>
    </row>
    <row r="143" spans="2:9" x14ac:dyDescent="0.35">
      <c r="B143" s="4"/>
      <c r="C143" s="4"/>
      <c r="D143" s="4"/>
      <c r="E143" s="5"/>
    </row>
    <row r="144" spans="2:9" x14ac:dyDescent="0.35">
      <c r="B144" s="22" t="s">
        <v>29</v>
      </c>
      <c r="C144" s="22"/>
      <c r="D144" s="22"/>
      <c r="E144" s="2">
        <v>2020</v>
      </c>
      <c r="F144" s="2">
        <v>2021</v>
      </c>
      <c r="G144" s="2">
        <v>2022</v>
      </c>
      <c r="H144" s="2">
        <v>2023</v>
      </c>
      <c r="I144" s="2">
        <v>2024</v>
      </c>
    </row>
    <row r="145" spans="2:9" x14ac:dyDescent="0.35">
      <c r="B145" s="20" t="s">
        <v>36</v>
      </c>
      <c r="C145" s="20" t="s">
        <v>37</v>
      </c>
      <c r="D145" s="4" t="s">
        <v>30</v>
      </c>
      <c r="E145" s="6">
        <v>860</v>
      </c>
      <c r="F145" s="6">
        <v>1</v>
      </c>
      <c r="G145" s="6">
        <v>626</v>
      </c>
      <c r="H145" s="6">
        <f>4374+1057</f>
        <v>5431</v>
      </c>
      <c r="I145" s="6">
        <v>5451</v>
      </c>
    </row>
    <row r="146" spans="2:9" x14ac:dyDescent="0.35">
      <c r="B146" s="21"/>
      <c r="C146" s="21"/>
      <c r="D146" s="4" t="s">
        <v>29</v>
      </c>
      <c r="E146" s="6">
        <v>141</v>
      </c>
      <c r="F146" s="6">
        <v>1</v>
      </c>
      <c r="G146" s="6">
        <v>83</v>
      </c>
      <c r="H146" s="6">
        <f>182+57</f>
        <v>239</v>
      </c>
      <c r="I146" s="6">
        <v>248</v>
      </c>
    </row>
    <row r="147" spans="2:9" x14ac:dyDescent="0.35">
      <c r="B147" s="20" t="s">
        <v>38</v>
      </c>
      <c r="C147" s="20" t="s">
        <v>39</v>
      </c>
      <c r="D147" s="4" t="s">
        <v>30</v>
      </c>
      <c r="E147" s="6">
        <v>513</v>
      </c>
      <c r="F147" s="6">
        <v>0</v>
      </c>
      <c r="G147" s="6">
        <v>596</v>
      </c>
      <c r="H147" s="6">
        <f>3174+782</f>
        <v>3956</v>
      </c>
      <c r="I147" s="6">
        <v>6314</v>
      </c>
    </row>
    <row r="148" spans="2:9" x14ac:dyDescent="0.35">
      <c r="B148" s="21"/>
      <c r="C148" s="21"/>
      <c r="D148" s="4" t="s">
        <v>29</v>
      </c>
      <c r="E148" s="6">
        <v>130</v>
      </c>
      <c r="F148" s="6">
        <v>0</v>
      </c>
      <c r="G148" s="6">
        <v>284</v>
      </c>
      <c r="H148" s="6">
        <f>137+67</f>
        <v>204</v>
      </c>
      <c r="I148" s="6">
        <v>263</v>
      </c>
    </row>
    <row r="149" spans="2:9" hidden="1" x14ac:dyDescent="0.35">
      <c r="B149" s="20" t="s">
        <v>40</v>
      </c>
      <c r="C149" s="20" t="s">
        <v>41</v>
      </c>
      <c r="D149" s="4" t="s">
        <v>30</v>
      </c>
      <c r="E149" s="6"/>
      <c r="F149" s="6"/>
      <c r="G149" s="6"/>
      <c r="H149" s="6"/>
      <c r="I149" s="6"/>
    </row>
    <row r="150" spans="2:9" hidden="1" x14ac:dyDescent="0.35">
      <c r="B150" s="21"/>
      <c r="C150" s="21"/>
      <c r="D150" s="4" t="s">
        <v>29</v>
      </c>
      <c r="E150" s="6"/>
      <c r="F150" s="6"/>
      <c r="G150" s="6"/>
      <c r="H150" s="6"/>
      <c r="I150" s="6"/>
    </row>
    <row r="151" spans="2:9" hidden="1" x14ac:dyDescent="0.35">
      <c r="B151" s="3" t="s">
        <v>42</v>
      </c>
      <c r="C151" s="3" t="s">
        <v>43</v>
      </c>
      <c r="D151" s="4" t="s">
        <v>30</v>
      </c>
      <c r="E151" s="6">
        <v>8</v>
      </c>
      <c r="F151" s="6"/>
      <c r="G151" s="6"/>
      <c r="H151" s="6"/>
      <c r="I151" s="6"/>
    </row>
    <row r="152" spans="2:9" hidden="1" x14ac:dyDescent="0.35">
      <c r="D152" s="4" t="s">
        <v>29</v>
      </c>
      <c r="E152" s="6">
        <v>8</v>
      </c>
      <c r="F152" s="6"/>
      <c r="G152" s="6"/>
      <c r="H152" s="6"/>
      <c r="I152" s="6"/>
    </row>
    <row r="153" spans="2:9" x14ac:dyDescent="0.35">
      <c r="B153" s="20" t="s">
        <v>20</v>
      </c>
      <c r="C153" s="20" t="s">
        <v>45</v>
      </c>
      <c r="D153" s="4" t="s">
        <v>30</v>
      </c>
      <c r="E153" s="6">
        <v>787</v>
      </c>
      <c r="F153" s="6">
        <v>1114</v>
      </c>
      <c r="G153" s="6">
        <v>1333</v>
      </c>
      <c r="H153" s="6">
        <f>1187+490</f>
        <v>1677</v>
      </c>
      <c r="I153" s="6">
        <v>1001</v>
      </c>
    </row>
    <row r="154" spans="2:9" x14ac:dyDescent="0.35">
      <c r="B154" s="21"/>
      <c r="C154" s="21"/>
      <c r="D154" s="4" t="s">
        <v>29</v>
      </c>
      <c r="E154" s="6">
        <v>184</v>
      </c>
      <c r="F154" s="6">
        <v>102</v>
      </c>
      <c r="G154" s="6">
        <v>196</v>
      </c>
      <c r="H154" s="6">
        <f>152+67</f>
        <v>219</v>
      </c>
      <c r="I154" s="6">
        <v>108</v>
      </c>
    </row>
    <row r="155" spans="2:9" x14ac:dyDescent="0.35">
      <c r="B155" s="21"/>
      <c r="C155" s="20" t="s">
        <v>47</v>
      </c>
      <c r="D155" s="4" t="s">
        <v>30</v>
      </c>
      <c r="E155" s="6">
        <v>203</v>
      </c>
      <c r="F155" s="6">
        <v>1274</v>
      </c>
      <c r="G155" s="6">
        <v>3649</v>
      </c>
      <c r="H155" s="6">
        <f>1492+292</f>
        <v>1784</v>
      </c>
      <c r="I155" s="6">
        <v>2380</v>
      </c>
    </row>
    <row r="156" spans="2:9" x14ac:dyDescent="0.35">
      <c r="B156" s="21"/>
      <c r="C156" s="21"/>
      <c r="D156" s="4" t="s">
        <v>29</v>
      </c>
      <c r="E156" s="6">
        <v>72</v>
      </c>
      <c r="F156" s="6">
        <v>62</v>
      </c>
      <c r="G156" s="6">
        <v>172</v>
      </c>
      <c r="H156" s="6">
        <f>102+46</f>
        <v>148</v>
      </c>
      <c r="I156" s="6">
        <v>123</v>
      </c>
    </row>
    <row r="157" spans="2:9" x14ac:dyDescent="0.35">
      <c r="B157" s="21"/>
      <c r="C157" s="20" t="s">
        <v>49</v>
      </c>
      <c r="D157" s="4" t="s">
        <v>30</v>
      </c>
      <c r="E157" s="6">
        <v>606</v>
      </c>
      <c r="F157" s="6">
        <v>449</v>
      </c>
      <c r="G157" s="6">
        <v>322</v>
      </c>
      <c r="H157" s="6">
        <f>496+394</f>
        <v>890</v>
      </c>
      <c r="I157" s="6">
        <v>1657</v>
      </c>
    </row>
    <row r="158" spans="2:9" x14ac:dyDescent="0.35">
      <c r="B158" s="21"/>
      <c r="C158" s="21"/>
      <c r="D158" s="4" t="s">
        <v>29</v>
      </c>
      <c r="E158" s="6">
        <v>190</v>
      </c>
      <c r="F158" s="6">
        <v>102</v>
      </c>
      <c r="G158" s="6">
        <v>222</v>
      </c>
      <c r="H158" s="6">
        <f>279+48</f>
        <v>327</v>
      </c>
      <c r="I158" s="6">
        <v>92</v>
      </c>
    </row>
    <row r="159" spans="2:9" x14ac:dyDescent="0.35">
      <c r="B159" s="20" t="s">
        <v>51</v>
      </c>
      <c r="C159" s="20" t="s">
        <v>52</v>
      </c>
      <c r="D159" s="4" t="s">
        <v>30</v>
      </c>
      <c r="E159" s="6">
        <v>286</v>
      </c>
      <c r="F159" s="6"/>
      <c r="G159" s="6">
        <v>0</v>
      </c>
      <c r="H159" s="6">
        <v>209</v>
      </c>
      <c r="I159" s="6">
        <v>1538</v>
      </c>
    </row>
    <row r="160" spans="2:9" x14ac:dyDescent="0.35">
      <c r="B160" s="21"/>
      <c r="C160" s="21"/>
      <c r="D160" s="4" t="s">
        <v>29</v>
      </c>
      <c r="E160" s="6">
        <v>134</v>
      </c>
      <c r="F160" s="6">
        <v>5</v>
      </c>
      <c r="G160" s="6">
        <v>22</v>
      </c>
      <c r="H160" s="6">
        <f>75+52</f>
        <v>127</v>
      </c>
      <c r="I160" s="6">
        <v>105</v>
      </c>
    </row>
    <row r="161" spans="2:9" x14ac:dyDescent="0.35">
      <c r="C161" s="3" t="s">
        <v>123</v>
      </c>
      <c r="D161" s="4" t="s">
        <v>30</v>
      </c>
      <c r="E161" s="6">
        <v>0</v>
      </c>
      <c r="F161" s="6">
        <v>0</v>
      </c>
      <c r="G161" s="6">
        <v>0</v>
      </c>
      <c r="H161" s="6">
        <v>0</v>
      </c>
      <c r="I161" s="6">
        <v>2043</v>
      </c>
    </row>
    <row r="162" spans="2:9" x14ac:dyDescent="0.35">
      <c r="D162" s="4" t="s">
        <v>29</v>
      </c>
      <c r="E162" s="6">
        <v>0</v>
      </c>
      <c r="F162" s="6">
        <v>0</v>
      </c>
      <c r="G162" s="6">
        <v>0</v>
      </c>
      <c r="H162" s="6">
        <v>0</v>
      </c>
      <c r="I162" s="6">
        <v>80</v>
      </c>
    </row>
    <row r="163" spans="2:9" x14ac:dyDescent="0.35">
      <c r="B163" s="4"/>
      <c r="C163" s="4"/>
      <c r="D163" s="4"/>
      <c r="E163" s="5"/>
    </row>
    <row r="164" spans="2:9" x14ac:dyDescent="0.35">
      <c r="B164" s="4"/>
      <c r="C164" s="4" t="s">
        <v>25</v>
      </c>
      <c r="D164" s="4" t="s">
        <v>30</v>
      </c>
      <c r="E164" s="5">
        <f>+E145+E147+E149+E153+E155+E157+E159+E151+E161</f>
        <v>3263</v>
      </c>
      <c r="F164" s="5">
        <f t="shared" ref="F164:I164" si="16">+F145+F147+F149+F153+F155+F157+F159+F151+F161</f>
        <v>2838</v>
      </c>
      <c r="G164" s="5">
        <f t="shared" si="16"/>
        <v>6526</v>
      </c>
      <c r="H164" s="5">
        <f t="shared" si="16"/>
        <v>13947</v>
      </c>
      <c r="I164" s="5">
        <f t="shared" si="16"/>
        <v>20384</v>
      </c>
    </row>
    <row r="165" spans="2:9" x14ac:dyDescent="0.35">
      <c r="B165" s="4"/>
      <c r="C165" s="4"/>
      <c r="D165" s="4" t="s">
        <v>29</v>
      </c>
      <c r="E165" s="5">
        <f>+E146+E148+E150+E154+E156+E158+E160+E152+E162</f>
        <v>859</v>
      </c>
      <c r="F165" s="5">
        <f t="shared" ref="F165:I165" si="17">+F146+F148+F150+F154+F156+F158+F160+F152+F162</f>
        <v>272</v>
      </c>
      <c r="G165" s="5">
        <f t="shared" si="17"/>
        <v>979</v>
      </c>
      <c r="H165" s="5">
        <f t="shared" si="17"/>
        <v>1264</v>
      </c>
      <c r="I165" s="5">
        <f t="shared" si="17"/>
        <v>1019</v>
      </c>
    </row>
    <row r="166" spans="2:9" x14ac:dyDescent="0.35">
      <c r="B166" s="4"/>
      <c r="C166" s="4"/>
      <c r="D166" s="4"/>
      <c r="E166" s="5"/>
    </row>
    <row r="167" spans="2:9" x14ac:dyDescent="0.35">
      <c r="B167" s="22" t="s">
        <v>31</v>
      </c>
      <c r="C167" s="22"/>
      <c r="D167" s="22"/>
      <c r="E167" s="2">
        <v>2020</v>
      </c>
      <c r="F167" s="2">
        <v>2021</v>
      </c>
      <c r="G167" s="2">
        <v>2022</v>
      </c>
      <c r="H167" s="2">
        <v>2023</v>
      </c>
      <c r="I167" s="2">
        <v>2024</v>
      </c>
    </row>
    <row r="168" spans="2:9" x14ac:dyDescent="0.35">
      <c r="B168" s="20" t="s">
        <v>36</v>
      </c>
      <c r="C168" s="20" t="s">
        <v>37</v>
      </c>
      <c r="D168" s="4" t="s">
        <v>32</v>
      </c>
      <c r="E168" s="6">
        <v>6753</v>
      </c>
      <c r="F168" s="6">
        <v>6399</v>
      </c>
      <c r="G168" s="6">
        <v>13222</v>
      </c>
      <c r="H168" s="6">
        <v>17254</v>
      </c>
      <c r="I168" s="6">
        <v>17566</v>
      </c>
    </row>
    <row r="169" spans="2:9" x14ac:dyDescent="0.35">
      <c r="B169" s="21"/>
      <c r="C169" s="21"/>
      <c r="D169" s="4" t="s">
        <v>33</v>
      </c>
      <c r="E169" s="6">
        <v>38</v>
      </c>
      <c r="F169" s="6">
        <v>36</v>
      </c>
      <c r="G169" s="6">
        <v>37</v>
      </c>
      <c r="H169" s="6">
        <v>39</v>
      </c>
      <c r="I169" s="6">
        <v>42</v>
      </c>
    </row>
    <row r="170" spans="2:9" x14ac:dyDescent="0.35">
      <c r="B170" s="21"/>
      <c r="C170" s="21"/>
      <c r="D170" s="4" t="s">
        <v>34</v>
      </c>
      <c r="E170" s="6">
        <v>256503</v>
      </c>
      <c r="F170" s="6">
        <v>230923</v>
      </c>
      <c r="G170" s="6">
        <v>487457</v>
      </c>
      <c r="H170" s="6">
        <f>11263*60</f>
        <v>675780</v>
      </c>
      <c r="I170" s="6">
        <f>12169*60</f>
        <v>730140</v>
      </c>
    </row>
    <row r="171" spans="2:9" x14ac:dyDescent="0.35">
      <c r="B171" s="20" t="s">
        <v>38</v>
      </c>
      <c r="C171" s="20" t="s">
        <v>39</v>
      </c>
      <c r="D171" s="4" t="s">
        <v>32</v>
      </c>
      <c r="E171" s="6">
        <v>3141</v>
      </c>
      <c r="F171" s="6">
        <v>2775</v>
      </c>
      <c r="G171" s="6">
        <v>6525</v>
      </c>
      <c r="H171" s="6">
        <v>7697</v>
      </c>
      <c r="I171" s="6">
        <v>8771</v>
      </c>
    </row>
    <row r="172" spans="2:9" x14ac:dyDescent="0.35">
      <c r="B172" s="21"/>
      <c r="C172" s="21"/>
      <c r="D172" s="4" t="s">
        <v>33</v>
      </c>
      <c r="E172" s="6">
        <v>46</v>
      </c>
      <c r="F172" s="6">
        <v>48</v>
      </c>
      <c r="G172" s="6">
        <v>42</v>
      </c>
      <c r="H172" s="6">
        <v>39</v>
      </c>
      <c r="I172" s="6">
        <v>39</v>
      </c>
    </row>
    <row r="173" spans="2:9" x14ac:dyDescent="0.35">
      <c r="B173" s="21"/>
      <c r="C173" s="21"/>
      <c r="D173" s="4" t="s">
        <v>34</v>
      </c>
      <c r="E173" s="6">
        <v>145042</v>
      </c>
      <c r="F173" s="6">
        <v>132113</v>
      </c>
      <c r="G173" s="6">
        <v>276467</v>
      </c>
      <c r="H173" s="6">
        <f>4961*60</f>
        <v>297660</v>
      </c>
      <c r="I173" s="6">
        <f>5637*60</f>
        <v>338220</v>
      </c>
    </row>
    <row r="174" spans="2:9" x14ac:dyDescent="0.35">
      <c r="B174" s="20" t="s">
        <v>20</v>
      </c>
      <c r="C174" s="20" t="s">
        <v>45</v>
      </c>
      <c r="D174" s="4" t="s">
        <v>32</v>
      </c>
      <c r="E174" s="6">
        <v>439</v>
      </c>
      <c r="F174" s="6">
        <v>500</v>
      </c>
      <c r="G174" s="6">
        <v>930</v>
      </c>
      <c r="H174" s="6">
        <v>1068</v>
      </c>
      <c r="I174" s="6">
        <v>1005</v>
      </c>
    </row>
    <row r="175" spans="2:9" x14ac:dyDescent="0.35">
      <c r="B175" s="21"/>
      <c r="C175" s="21"/>
      <c r="D175" s="4" t="s">
        <v>33</v>
      </c>
      <c r="E175" s="6">
        <v>32</v>
      </c>
      <c r="F175" s="6">
        <v>32</v>
      </c>
      <c r="G175" s="6">
        <v>32</v>
      </c>
      <c r="H175" s="6">
        <v>30</v>
      </c>
      <c r="I175" s="6">
        <v>30</v>
      </c>
    </row>
    <row r="176" spans="2:9" x14ac:dyDescent="0.35">
      <c r="B176" s="21"/>
      <c r="C176" s="21"/>
      <c r="D176" s="4" t="s">
        <v>34</v>
      </c>
      <c r="E176" s="6">
        <v>14078</v>
      </c>
      <c r="F176" s="6">
        <v>15937</v>
      </c>
      <c r="G176" s="6">
        <v>31042</v>
      </c>
      <c r="H176" s="6">
        <f>532*60</f>
        <v>31920</v>
      </c>
      <c r="I176" s="6">
        <f>497*60</f>
        <v>29820</v>
      </c>
    </row>
    <row r="177" spans="1:9" x14ac:dyDescent="0.35">
      <c r="B177" s="21"/>
      <c r="C177" s="20" t="s">
        <v>47</v>
      </c>
      <c r="D177" s="4" t="s">
        <v>32</v>
      </c>
      <c r="E177" s="6">
        <v>303</v>
      </c>
      <c r="F177" s="6">
        <v>270</v>
      </c>
      <c r="G177" s="6">
        <v>830</v>
      </c>
      <c r="H177" s="6">
        <v>1138</v>
      </c>
      <c r="I177" s="6">
        <v>1068</v>
      </c>
    </row>
    <row r="178" spans="1:9" x14ac:dyDescent="0.35">
      <c r="B178" s="21"/>
      <c r="C178" s="21"/>
      <c r="D178" s="4" t="s">
        <v>33</v>
      </c>
      <c r="E178" s="6">
        <v>31</v>
      </c>
      <c r="F178" s="6">
        <v>28</v>
      </c>
      <c r="G178" s="6">
        <v>29</v>
      </c>
      <c r="H178" s="6">
        <v>30</v>
      </c>
      <c r="I178" s="6">
        <v>31</v>
      </c>
    </row>
    <row r="179" spans="1:9" x14ac:dyDescent="0.35">
      <c r="B179" s="21"/>
      <c r="C179" s="21"/>
      <c r="D179" s="4" t="s">
        <v>34</v>
      </c>
      <c r="E179" s="6">
        <v>9405</v>
      </c>
      <c r="F179" s="6">
        <v>7674</v>
      </c>
      <c r="G179" s="6">
        <v>24424</v>
      </c>
      <c r="H179" s="6">
        <f>562*60</f>
        <v>33720</v>
      </c>
      <c r="I179" s="6">
        <f>553*60</f>
        <v>33180</v>
      </c>
    </row>
    <row r="180" spans="1:9" x14ac:dyDescent="0.35">
      <c r="B180" s="21"/>
      <c r="C180" s="20" t="s">
        <v>49</v>
      </c>
      <c r="D180" s="4" t="s">
        <v>32</v>
      </c>
      <c r="E180" s="6">
        <v>1031</v>
      </c>
      <c r="F180" s="6">
        <v>549</v>
      </c>
      <c r="G180" s="6">
        <v>1586</v>
      </c>
      <c r="H180" s="6">
        <v>2009</v>
      </c>
      <c r="I180" s="6">
        <v>1936</v>
      </c>
    </row>
    <row r="181" spans="1:9" x14ac:dyDescent="0.35">
      <c r="B181" s="21"/>
      <c r="C181" s="21"/>
      <c r="D181" s="4" t="s">
        <v>33</v>
      </c>
      <c r="E181" s="6">
        <v>42</v>
      </c>
      <c r="F181" s="6">
        <v>33</v>
      </c>
      <c r="G181" s="6">
        <v>44</v>
      </c>
      <c r="H181" s="6">
        <v>38</v>
      </c>
      <c r="I181" s="6">
        <v>33</v>
      </c>
    </row>
    <row r="182" spans="1:9" x14ac:dyDescent="0.35">
      <c r="B182" s="21"/>
      <c r="C182" s="21"/>
      <c r="D182" s="4" t="s">
        <v>34</v>
      </c>
      <c r="E182" s="6">
        <v>43760</v>
      </c>
      <c r="F182" s="6">
        <v>18136</v>
      </c>
      <c r="G182" s="6">
        <v>69682</v>
      </c>
      <c r="H182" s="6">
        <f>1264*60</f>
        <v>75840</v>
      </c>
      <c r="I182" s="6">
        <f>1068*60</f>
        <v>64080</v>
      </c>
    </row>
    <row r="183" spans="1:9" x14ac:dyDescent="0.35">
      <c r="B183" s="20" t="s">
        <v>51</v>
      </c>
      <c r="C183" s="20" t="s">
        <v>52</v>
      </c>
      <c r="D183" s="4" t="s">
        <v>32</v>
      </c>
      <c r="E183" s="6">
        <v>418</v>
      </c>
      <c r="F183" s="6">
        <v>677</v>
      </c>
      <c r="G183" s="6">
        <v>1319</v>
      </c>
      <c r="H183" s="6">
        <v>1773</v>
      </c>
      <c r="I183" s="6">
        <v>2166</v>
      </c>
    </row>
    <row r="184" spans="1:9" x14ac:dyDescent="0.35">
      <c r="B184" s="21"/>
      <c r="C184" s="21"/>
      <c r="D184" s="4" t="s">
        <v>33</v>
      </c>
      <c r="E184" s="6">
        <v>36</v>
      </c>
      <c r="F184" s="6">
        <v>39</v>
      </c>
      <c r="G184" s="6">
        <v>37</v>
      </c>
      <c r="H184" s="6">
        <v>33</v>
      </c>
      <c r="I184" s="6">
        <v>34</v>
      </c>
    </row>
    <row r="185" spans="1:9" x14ac:dyDescent="0.35">
      <c r="B185" s="21"/>
      <c r="C185" s="21"/>
      <c r="D185" s="4" t="s">
        <v>34</v>
      </c>
      <c r="E185" s="6">
        <v>14982</v>
      </c>
      <c r="F185" s="6">
        <v>26202</v>
      </c>
      <c r="G185" s="6">
        <v>48777</v>
      </c>
      <c r="H185" s="6">
        <f>978*60</f>
        <v>58680</v>
      </c>
      <c r="I185" s="6">
        <f>1244*60</f>
        <v>74640</v>
      </c>
    </row>
    <row r="186" spans="1:9" x14ac:dyDescent="0.35">
      <c r="B186" s="4"/>
      <c r="C186" s="4"/>
      <c r="D186" s="4"/>
      <c r="E186" s="5"/>
    </row>
    <row r="187" spans="1:9" x14ac:dyDescent="0.35">
      <c r="B187" s="4"/>
      <c r="C187" s="4" t="s">
        <v>25</v>
      </c>
      <c r="D187" s="4" t="s">
        <v>32</v>
      </c>
      <c r="E187" s="5">
        <f>+E168+E171+E174+E177+E180+E183</f>
        <v>12085</v>
      </c>
      <c r="F187" s="5">
        <f t="shared" ref="F187:G187" si="18">+F168+F171+F174+F177+F180+F183</f>
        <v>11170</v>
      </c>
      <c r="G187" s="5">
        <f t="shared" si="18"/>
        <v>24412</v>
      </c>
      <c r="H187" s="5">
        <f t="shared" ref="H187:I187" si="19">+H168+H171+H174+H177+H180+H183</f>
        <v>30939</v>
      </c>
      <c r="I187" s="5">
        <f t="shared" si="19"/>
        <v>32512</v>
      </c>
    </row>
    <row r="188" spans="1:9" x14ac:dyDescent="0.35">
      <c r="B188" s="4"/>
      <c r="C188" s="4"/>
      <c r="D188" s="4" t="s">
        <v>33</v>
      </c>
      <c r="E188" s="5">
        <f>+E189/E187</f>
        <v>40.030616466694248</v>
      </c>
      <c r="F188" s="5">
        <f>+F189/F187</f>
        <v>38.584153983885408</v>
      </c>
      <c r="G188" s="5">
        <f>+G189/G187</f>
        <v>38.417540553825987</v>
      </c>
      <c r="H188" s="5">
        <f>+H189/H187</f>
        <v>37.932706293028218</v>
      </c>
      <c r="I188" s="5">
        <f>+I189/I187</f>
        <v>39.064960629921259</v>
      </c>
    </row>
    <row r="189" spans="1:9" x14ac:dyDescent="0.35">
      <c r="B189" s="4"/>
      <c r="C189" s="4"/>
      <c r="D189" s="4" t="s">
        <v>34</v>
      </c>
      <c r="E189" s="5">
        <f>+E170+E173+E176+E179+E182+E185</f>
        <v>483770</v>
      </c>
      <c r="F189" s="5">
        <f t="shared" ref="F189:G189" si="20">+F170+F173+F176+F179+F182+F185</f>
        <v>430985</v>
      </c>
      <c r="G189" s="5">
        <f t="shared" si="20"/>
        <v>937849</v>
      </c>
      <c r="H189" s="5">
        <f t="shared" ref="H189:I189" si="21">+H170+H173+H176+H179+H182+H185</f>
        <v>1173600</v>
      </c>
      <c r="I189" s="5">
        <f t="shared" si="21"/>
        <v>1270080</v>
      </c>
    </row>
    <row r="190" spans="1:9" x14ac:dyDescent="0.35">
      <c r="B190" s="4"/>
      <c r="C190" s="4"/>
      <c r="D190" s="4"/>
      <c r="E190" s="5"/>
      <c r="F190" s="5"/>
      <c r="G190" s="5"/>
    </row>
    <row r="191" spans="1:9" ht="31" x14ac:dyDescent="0.35">
      <c r="A191" s="1" t="s">
        <v>0</v>
      </c>
      <c r="B191" s="1" t="s">
        <v>1</v>
      </c>
      <c r="C191" s="1" t="s">
        <v>2</v>
      </c>
      <c r="D191" s="1" t="s">
        <v>3</v>
      </c>
      <c r="E191" s="2" t="s">
        <v>4</v>
      </c>
      <c r="F191" s="2" t="s">
        <v>5</v>
      </c>
      <c r="G191" s="2" t="s">
        <v>6</v>
      </c>
      <c r="H191" s="2" t="s">
        <v>111</v>
      </c>
      <c r="I191" s="11" t="s">
        <v>114</v>
      </c>
    </row>
    <row r="192" spans="1:9" x14ac:dyDescent="0.35">
      <c r="A192" s="20" t="s">
        <v>53</v>
      </c>
      <c r="B192" s="4" t="s">
        <v>54</v>
      </c>
      <c r="C192" s="4" t="s">
        <v>55</v>
      </c>
      <c r="D192" s="4" t="s">
        <v>54</v>
      </c>
      <c r="E192" s="5">
        <v>40010</v>
      </c>
      <c r="F192" s="6">
        <v>25167</v>
      </c>
      <c r="G192" s="6">
        <v>10192</v>
      </c>
      <c r="H192" s="6">
        <v>4483</v>
      </c>
      <c r="I192" s="6">
        <v>4405</v>
      </c>
    </row>
    <row r="193" spans="1:9" x14ac:dyDescent="0.35">
      <c r="A193" s="21"/>
      <c r="B193" s="20" t="s">
        <v>20</v>
      </c>
      <c r="C193" s="4" t="s">
        <v>56</v>
      </c>
      <c r="D193" s="4" t="s">
        <v>57</v>
      </c>
      <c r="E193" s="5">
        <v>5400</v>
      </c>
      <c r="F193" s="5">
        <v>1818</v>
      </c>
      <c r="G193" s="5">
        <v>1115</v>
      </c>
      <c r="H193" s="5">
        <v>593</v>
      </c>
      <c r="I193" s="5">
        <v>644</v>
      </c>
    </row>
    <row r="194" spans="1:9" x14ac:dyDescent="0.35">
      <c r="A194" s="21"/>
      <c r="B194" s="21"/>
      <c r="C194" s="4" t="s">
        <v>58</v>
      </c>
      <c r="D194" s="4" t="s">
        <v>59</v>
      </c>
      <c r="E194" s="5">
        <v>19246</v>
      </c>
      <c r="F194" s="6">
        <v>13205</v>
      </c>
      <c r="G194" s="6">
        <v>5223</v>
      </c>
      <c r="H194" s="6">
        <v>2120</v>
      </c>
      <c r="I194" s="6">
        <v>2905</v>
      </c>
    </row>
    <row r="195" spans="1:9" x14ac:dyDescent="0.35">
      <c r="C195" s="4" t="s">
        <v>125</v>
      </c>
      <c r="D195" s="4" t="s">
        <v>126</v>
      </c>
      <c r="E195" s="5"/>
      <c r="F195" s="6">
        <v>136</v>
      </c>
      <c r="G195" s="6">
        <v>128</v>
      </c>
      <c r="H195" s="6">
        <v>190</v>
      </c>
      <c r="I195" s="6">
        <v>14</v>
      </c>
    </row>
    <row r="196" spans="1:9" x14ac:dyDescent="0.35">
      <c r="C196" s="4"/>
      <c r="D196" s="4"/>
      <c r="E196" s="5"/>
      <c r="F196" s="5"/>
      <c r="G196" s="5"/>
      <c r="H196" s="5"/>
      <c r="I196" s="5"/>
    </row>
    <row r="197" spans="1:9" x14ac:dyDescent="0.35">
      <c r="C197" s="4"/>
      <c r="D197" s="12" t="s">
        <v>25</v>
      </c>
      <c r="E197" s="13">
        <f>SUM(E192:E194)</f>
        <v>64656</v>
      </c>
      <c r="F197" s="13">
        <f>SUM(F192:F195)</f>
        <v>40326</v>
      </c>
      <c r="G197" s="13">
        <f t="shared" ref="G197:I197" si="22">SUM(G192:G195)</f>
        <v>16658</v>
      </c>
      <c r="H197" s="13">
        <f t="shared" si="22"/>
        <v>7386</v>
      </c>
      <c r="I197" s="13">
        <f t="shared" si="22"/>
        <v>7968</v>
      </c>
    </row>
    <row r="198" spans="1:9" x14ac:dyDescent="0.35">
      <c r="C198" s="4"/>
      <c r="D198" s="4"/>
      <c r="E198" s="5"/>
      <c r="F198" s="13"/>
      <c r="G198" s="5"/>
      <c r="H198" s="5"/>
      <c r="I198" s="5"/>
    </row>
    <row r="199" spans="1:9" x14ac:dyDescent="0.35">
      <c r="C199" s="4"/>
      <c r="D199" s="4"/>
      <c r="E199" s="5"/>
      <c r="F199" s="5"/>
      <c r="G199" s="5"/>
    </row>
    <row r="200" spans="1:9" x14ac:dyDescent="0.35">
      <c r="B200" s="22" t="s">
        <v>26</v>
      </c>
      <c r="C200" s="22"/>
      <c r="D200" s="22"/>
      <c r="E200" s="2">
        <v>2020</v>
      </c>
      <c r="F200" s="2">
        <v>2021</v>
      </c>
      <c r="G200" s="2">
        <v>2022</v>
      </c>
      <c r="H200" s="2">
        <v>2023</v>
      </c>
      <c r="I200" s="2">
        <v>2024</v>
      </c>
    </row>
    <row r="201" spans="1:9" x14ac:dyDescent="0.35">
      <c r="B201" s="20" t="s">
        <v>54</v>
      </c>
      <c r="C201" s="20" t="s">
        <v>55</v>
      </c>
      <c r="D201" s="4" t="s">
        <v>26</v>
      </c>
      <c r="E201" s="6">
        <v>81532</v>
      </c>
      <c r="F201" s="6">
        <v>110213</v>
      </c>
      <c r="G201" s="6">
        <v>113346</v>
      </c>
      <c r="H201" s="6">
        <v>160263</v>
      </c>
      <c r="I201" s="6">
        <v>160281</v>
      </c>
    </row>
    <row r="202" spans="1:9" x14ac:dyDescent="0.35">
      <c r="B202" s="21"/>
      <c r="C202" s="21"/>
      <c r="D202" s="4" t="s">
        <v>27</v>
      </c>
      <c r="E202" s="6">
        <v>77252</v>
      </c>
      <c r="F202" s="6">
        <v>82441</v>
      </c>
      <c r="G202" s="6">
        <v>89614</v>
      </c>
      <c r="H202" s="6">
        <v>101796</v>
      </c>
      <c r="I202" s="6">
        <v>114655</v>
      </c>
    </row>
    <row r="203" spans="1:9" x14ac:dyDescent="0.35">
      <c r="B203" s="21"/>
      <c r="C203" s="21"/>
      <c r="D203" s="16" t="s">
        <v>28</v>
      </c>
      <c r="E203" s="17">
        <f>+E202+E201</f>
        <v>158784</v>
      </c>
      <c r="F203" s="17">
        <f>+F202+F201</f>
        <v>192654</v>
      </c>
      <c r="G203" s="17">
        <f>+G202+G201</f>
        <v>202960</v>
      </c>
      <c r="H203" s="17">
        <f>+H202+H201</f>
        <v>262059</v>
      </c>
      <c r="I203" s="17">
        <f>+I202+I201</f>
        <v>274936</v>
      </c>
    </row>
    <row r="204" spans="1:9" x14ac:dyDescent="0.35">
      <c r="B204" s="20" t="s">
        <v>20</v>
      </c>
      <c r="C204" s="20" t="s">
        <v>56</v>
      </c>
      <c r="D204" s="4" t="s">
        <v>26</v>
      </c>
      <c r="E204" s="6">
        <v>10797</v>
      </c>
      <c r="F204" s="6">
        <v>12825</v>
      </c>
      <c r="G204" s="6">
        <v>15870</v>
      </c>
      <c r="H204" s="6">
        <v>16275</v>
      </c>
      <c r="I204" s="6">
        <v>15061</v>
      </c>
    </row>
    <row r="205" spans="1:9" x14ac:dyDescent="0.35">
      <c r="B205" s="21"/>
      <c r="C205" s="21"/>
      <c r="D205" s="4" t="s">
        <v>27</v>
      </c>
      <c r="E205" s="6">
        <v>8760</v>
      </c>
      <c r="F205" s="6">
        <v>13681</v>
      </c>
      <c r="G205" s="6">
        <v>13424</v>
      </c>
      <c r="H205" s="6">
        <v>19210</v>
      </c>
      <c r="I205" s="6">
        <v>15695</v>
      </c>
    </row>
    <row r="206" spans="1:9" x14ac:dyDescent="0.35">
      <c r="B206" s="21"/>
      <c r="C206" s="21"/>
      <c r="D206" s="16" t="s">
        <v>28</v>
      </c>
      <c r="E206" s="17">
        <f>+E205+E204</f>
        <v>19557</v>
      </c>
      <c r="F206" s="17">
        <f>+F205+F204</f>
        <v>26506</v>
      </c>
      <c r="G206" s="17">
        <f>+G205+G204</f>
        <v>29294</v>
      </c>
      <c r="H206" s="17">
        <f>+H205+H204</f>
        <v>35485</v>
      </c>
      <c r="I206" s="17">
        <f>+I205+I204</f>
        <v>30756</v>
      </c>
    </row>
    <row r="207" spans="1:9" x14ac:dyDescent="0.35">
      <c r="B207" s="21"/>
      <c r="C207" s="20" t="s">
        <v>58</v>
      </c>
      <c r="D207" s="4" t="s">
        <v>26</v>
      </c>
      <c r="E207" s="6">
        <v>31457</v>
      </c>
      <c r="F207" s="6">
        <v>60807</v>
      </c>
      <c r="G207" s="6">
        <v>82083</v>
      </c>
      <c r="H207" s="6">
        <v>83615</v>
      </c>
      <c r="I207" s="6">
        <v>82556</v>
      </c>
    </row>
    <row r="208" spans="1:9" x14ac:dyDescent="0.35">
      <c r="B208" s="21"/>
      <c r="C208" s="21"/>
      <c r="D208" s="4" t="s">
        <v>27</v>
      </c>
      <c r="E208" s="6">
        <v>41180</v>
      </c>
      <c r="F208" s="6">
        <v>44526</v>
      </c>
      <c r="G208" s="6">
        <v>50489</v>
      </c>
      <c r="H208" s="6">
        <v>60828</v>
      </c>
      <c r="I208" s="6">
        <v>68487</v>
      </c>
    </row>
    <row r="209" spans="2:9" x14ac:dyDescent="0.35">
      <c r="B209" s="21"/>
      <c r="C209" s="21"/>
      <c r="D209" s="16" t="s">
        <v>28</v>
      </c>
      <c r="E209" s="17">
        <f>+E208+E207</f>
        <v>72637</v>
      </c>
      <c r="F209" s="17">
        <f>+F208+F207</f>
        <v>105333</v>
      </c>
      <c r="G209" s="17">
        <f>+G208+G207</f>
        <v>132572</v>
      </c>
      <c r="H209" s="17">
        <f>+H208+H207</f>
        <v>144443</v>
      </c>
      <c r="I209" s="17">
        <f>+I208+I207</f>
        <v>151043</v>
      </c>
    </row>
    <row r="210" spans="2:9" x14ac:dyDescent="0.35">
      <c r="C210" s="3" t="s">
        <v>125</v>
      </c>
      <c r="D210" s="4" t="s">
        <v>26</v>
      </c>
      <c r="E210" s="17">
        <v>0</v>
      </c>
      <c r="F210" s="17">
        <v>0</v>
      </c>
      <c r="G210" s="17">
        <v>0</v>
      </c>
      <c r="H210" s="17">
        <v>50</v>
      </c>
      <c r="I210" s="17">
        <v>1725</v>
      </c>
    </row>
    <row r="211" spans="2:9" x14ac:dyDescent="0.35">
      <c r="D211" s="4" t="s">
        <v>27</v>
      </c>
      <c r="E211" s="17">
        <v>0</v>
      </c>
      <c r="F211" s="17">
        <v>0</v>
      </c>
      <c r="G211" s="17">
        <v>0</v>
      </c>
      <c r="H211" s="17">
        <v>29</v>
      </c>
      <c r="I211" s="17">
        <v>306</v>
      </c>
    </row>
    <row r="212" spans="2:9" x14ac:dyDescent="0.35">
      <c r="D212" s="16" t="s">
        <v>28</v>
      </c>
      <c r="E212" s="17">
        <f>+E211+E210</f>
        <v>0</v>
      </c>
      <c r="F212" s="17">
        <f>+F211+F210</f>
        <v>0</v>
      </c>
      <c r="G212" s="17">
        <f>+G211+G210</f>
        <v>0</v>
      </c>
      <c r="H212" s="17">
        <f>+H211+H210</f>
        <v>79</v>
      </c>
      <c r="I212" s="17">
        <f>+I211+I210</f>
        <v>2031</v>
      </c>
    </row>
    <row r="213" spans="2:9" x14ac:dyDescent="0.35">
      <c r="C213" s="4"/>
      <c r="D213" s="4"/>
      <c r="E213" s="5"/>
    </row>
    <row r="214" spans="2:9" x14ac:dyDescent="0.35">
      <c r="C214" s="4" t="s">
        <v>25</v>
      </c>
      <c r="D214" s="16" t="s">
        <v>26</v>
      </c>
      <c r="E214" s="17">
        <f>+E201+E204+E207+E210</f>
        <v>123786</v>
      </c>
      <c r="F214" s="17">
        <f t="shared" ref="F214:I214" si="23">+F201+F204+F207+F210</f>
        <v>183845</v>
      </c>
      <c r="G214" s="17">
        <f t="shared" si="23"/>
        <v>211299</v>
      </c>
      <c r="H214" s="17">
        <f t="shared" si="23"/>
        <v>260203</v>
      </c>
      <c r="I214" s="17">
        <f t="shared" si="23"/>
        <v>259623</v>
      </c>
    </row>
    <row r="215" spans="2:9" x14ac:dyDescent="0.35">
      <c r="C215" s="4"/>
      <c r="D215" s="16" t="s">
        <v>27</v>
      </c>
      <c r="E215" s="17">
        <f>+E202+E205+E208+E211</f>
        <v>127192</v>
      </c>
      <c r="F215" s="17">
        <f t="shared" ref="F215:I215" si="24">+F202+F205+F208+F211</f>
        <v>140648</v>
      </c>
      <c r="G215" s="17">
        <f t="shared" si="24"/>
        <v>153527</v>
      </c>
      <c r="H215" s="17">
        <f t="shared" si="24"/>
        <v>181863</v>
      </c>
      <c r="I215" s="17">
        <f t="shared" si="24"/>
        <v>199143</v>
      </c>
    </row>
    <row r="216" spans="2:9" x14ac:dyDescent="0.35">
      <c r="C216" s="4"/>
      <c r="D216" s="16" t="s">
        <v>28</v>
      </c>
      <c r="E216" s="17">
        <f>+E203+E206+E209+E212</f>
        <v>250978</v>
      </c>
      <c r="F216" s="17">
        <f t="shared" ref="F216:I216" si="25">+F203+F206+F209+F212</f>
        <v>324493</v>
      </c>
      <c r="G216" s="17">
        <f t="shared" si="25"/>
        <v>364826</v>
      </c>
      <c r="H216" s="17">
        <f t="shared" si="25"/>
        <v>442066</v>
      </c>
      <c r="I216" s="17">
        <f t="shared" si="25"/>
        <v>458766</v>
      </c>
    </row>
    <row r="217" spans="2:9" x14ac:dyDescent="0.35">
      <c r="C217" s="4"/>
      <c r="D217" s="4"/>
      <c r="E217" s="5"/>
    </row>
    <row r="218" spans="2:9" x14ac:dyDescent="0.35">
      <c r="B218" s="22" t="s">
        <v>29</v>
      </c>
      <c r="C218" s="22"/>
      <c r="D218" s="22"/>
      <c r="E218" s="2">
        <v>2020</v>
      </c>
      <c r="F218" s="2">
        <v>2021</v>
      </c>
      <c r="G218" s="2">
        <v>2022</v>
      </c>
      <c r="H218" s="2">
        <v>2023</v>
      </c>
      <c r="I218" s="2">
        <v>2024</v>
      </c>
    </row>
    <row r="219" spans="2:9" x14ac:dyDescent="0.35">
      <c r="B219" s="20" t="s">
        <v>54</v>
      </c>
      <c r="C219" s="20" t="s">
        <v>55</v>
      </c>
      <c r="D219" s="4" t="s">
        <v>30</v>
      </c>
      <c r="E219" s="6">
        <v>1076</v>
      </c>
      <c r="F219" s="6">
        <v>8</v>
      </c>
      <c r="G219" s="6">
        <v>313</v>
      </c>
      <c r="H219" s="6">
        <f>512+1683</f>
        <v>2195</v>
      </c>
      <c r="I219" s="6">
        <v>11510</v>
      </c>
    </row>
    <row r="220" spans="2:9" x14ac:dyDescent="0.35">
      <c r="B220" s="21"/>
      <c r="C220" s="21"/>
      <c r="D220" s="4" t="s">
        <v>29</v>
      </c>
      <c r="E220" s="6">
        <v>273</v>
      </c>
      <c r="F220" s="6">
        <v>62</v>
      </c>
      <c r="G220" s="6">
        <v>134</v>
      </c>
      <c r="H220" s="6">
        <f>376+314</f>
        <v>690</v>
      </c>
      <c r="I220" s="6">
        <v>753</v>
      </c>
    </row>
    <row r="221" spans="2:9" x14ac:dyDescent="0.35">
      <c r="B221" s="20" t="s">
        <v>20</v>
      </c>
      <c r="C221" s="20" t="s">
        <v>56</v>
      </c>
      <c r="D221" s="4" t="s">
        <v>30</v>
      </c>
      <c r="E221" s="6">
        <v>307</v>
      </c>
      <c r="F221" s="6">
        <v>6</v>
      </c>
      <c r="G221" s="6">
        <v>20</v>
      </c>
      <c r="H221" s="6">
        <f>288+253</f>
        <v>541</v>
      </c>
      <c r="I221" s="6">
        <v>753</v>
      </c>
    </row>
    <row r="222" spans="2:9" x14ac:dyDescent="0.35">
      <c r="B222" s="21"/>
      <c r="C222" s="21"/>
      <c r="D222" s="4" t="s">
        <v>29</v>
      </c>
      <c r="E222" s="6">
        <v>180</v>
      </c>
      <c r="F222" s="6">
        <v>273</v>
      </c>
      <c r="G222" s="6">
        <v>96</v>
      </c>
      <c r="H222" s="6">
        <f>98+78</f>
        <v>176</v>
      </c>
      <c r="I222" s="6">
        <v>106</v>
      </c>
    </row>
    <row r="223" spans="2:9" x14ac:dyDescent="0.35">
      <c r="B223" s="21"/>
      <c r="C223" s="20" t="s">
        <v>58</v>
      </c>
      <c r="D223" s="4" t="s">
        <v>30</v>
      </c>
      <c r="E223" s="6">
        <v>585</v>
      </c>
      <c r="F223" s="6">
        <v>195</v>
      </c>
      <c r="G223" s="6">
        <v>84</v>
      </c>
      <c r="H223" s="6">
        <f>2775+1049</f>
        <v>3824</v>
      </c>
      <c r="I223" s="6">
        <v>4164</v>
      </c>
    </row>
    <row r="224" spans="2:9" x14ac:dyDescent="0.35">
      <c r="B224" s="21"/>
      <c r="C224" s="21"/>
      <c r="D224" s="4" t="s">
        <v>29</v>
      </c>
      <c r="E224" s="6">
        <v>263</v>
      </c>
      <c r="F224" s="6">
        <v>78</v>
      </c>
      <c r="G224" s="6">
        <v>117</v>
      </c>
      <c r="H224" s="6">
        <f>211+130</f>
        <v>341</v>
      </c>
      <c r="I224" s="6">
        <v>251</v>
      </c>
    </row>
    <row r="225" spans="2:9" x14ac:dyDescent="0.35">
      <c r="C225" s="3" t="s">
        <v>125</v>
      </c>
      <c r="D225" s="4" t="s">
        <v>30</v>
      </c>
      <c r="E225" s="6">
        <v>0</v>
      </c>
      <c r="F225" s="6">
        <v>0</v>
      </c>
      <c r="G225" s="6">
        <v>0</v>
      </c>
      <c r="H225" s="6">
        <v>0</v>
      </c>
      <c r="I225" s="6">
        <v>1879</v>
      </c>
    </row>
    <row r="226" spans="2:9" x14ac:dyDescent="0.35">
      <c r="D226" s="4" t="s">
        <v>29</v>
      </c>
      <c r="E226" s="6">
        <v>0</v>
      </c>
      <c r="F226" s="6">
        <v>0</v>
      </c>
      <c r="G226" s="6">
        <v>0</v>
      </c>
      <c r="H226" s="6">
        <v>0</v>
      </c>
      <c r="I226" s="6">
        <v>105</v>
      </c>
    </row>
    <row r="227" spans="2:9" x14ac:dyDescent="0.35">
      <c r="C227" s="4"/>
      <c r="D227" s="4"/>
      <c r="E227" s="5"/>
    </row>
    <row r="228" spans="2:9" x14ac:dyDescent="0.35">
      <c r="C228" s="4" t="s">
        <v>25</v>
      </c>
      <c r="D228" s="4" t="s">
        <v>30</v>
      </c>
      <c r="E228" s="5">
        <f>+E219+E221+E223+E225</f>
        <v>1968</v>
      </c>
      <c r="F228" s="5">
        <f t="shared" ref="F228:I228" si="26">+F219+F221+F223+F225</f>
        <v>209</v>
      </c>
      <c r="G228" s="5">
        <f t="shared" si="26"/>
        <v>417</v>
      </c>
      <c r="H228" s="5">
        <f t="shared" si="26"/>
        <v>6560</v>
      </c>
      <c r="I228" s="5">
        <f t="shared" si="26"/>
        <v>18306</v>
      </c>
    </row>
    <row r="229" spans="2:9" x14ac:dyDescent="0.35">
      <c r="C229" s="4"/>
      <c r="D229" s="4" t="s">
        <v>29</v>
      </c>
      <c r="E229" s="5">
        <f>+E220+E222+E224+E226</f>
        <v>716</v>
      </c>
      <c r="F229" s="5">
        <f t="shared" ref="F229:I229" si="27">+F220+F222+F224+F226</f>
        <v>413</v>
      </c>
      <c r="G229" s="5">
        <f t="shared" si="27"/>
        <v>347</v>
      </c>
      <c r="H229" s="5">
        <f t="shared" si="27"/>
        <v>1207</v>
      </c>
      <c r="I229" s="5">
        <f t="shared" si="27"/>
        <v>1215</v>
      </c>
    </row>
    <row r="230" spans="2:9" x14ac:dyDescent="0.35">
      <c r="C230" s="4"/>
      <c r="D230" s="4"/>
      <c r="E230" s="5"/>
    </row>
    <row r="231" spans="2:9" x14ac:dyDescent="0.35">
      <c r="B231" s="22" t="s">
        <v>31</v>
      </c>
      <c r="C231" s="22"/>
      <c r="D231" s="22"/>
      <c r="E231" s="2">
        <v>2020</v>
      </c>
      <c r="F231" s="2">
        <v>2021</v>
      </c>
      <c r="G231" s="2">
        <v>2022</v>
      </c>
      <c r="H231" s="2">
        <v>2023</v>
      </c>
      <c r="I231" s="2">
        <v>2024</v>
      </c>
    </row>
    <row r="232" spans="2:9" x14ac:dyDescent="0.35">
      <c r="B232" s="20" t="s">
        <v>54</v>
      </c>
      <c r="C232" s="20" t="s">
        <v>55</v>
      </c>
      <c r="D232" s="4" t="s">
        <v>32</v>
      </c>
      <c r="E232" s="6">
        <v>5474</v>
      </c>
      <c r="F232" s="6">
        <v>3150</v>
      </c>
      <c r="G232" s="6">
        <v>5969</v>
      </c>
      <c r="H232" s="6">
        <v>13787</v>
      </c>
      <c r="I232" s="6">
        <v>14772</v>
      </c>
    </row>
    <row r="233" spans="2:9" x14ac:dyDescent="0.35">
      <c r="B233" s="21"/>
      <c r="C233" s="21"/>
      <c r="D233" s="4" t="s">
        <v>33</v>
      </c>
      <c r="E233" s="6">
        <v>35</v>
      </c>
      <c r="F233" s="6">
        <v>37</v>
      </c>
      <c r="G233" s="6">
        <v>31</v>
      </c>
      <c r="H233" s="6">
        <v>37</v>
      </c>
      <c r="I233" s="6">
        <v>34</v>
      </c>
    </row>
    <row r="234" spans="2:9" x14ac:dyDescent="0.35">
      <c r="B234" s="21"/>
      <c r="C234" s="21"/>
      <c r="D234" s="4" t="s">
        <v>34</v>
      </c>
      <c r="E234" s="6">
        <v>193313</v>
      </c>
      <c r="F234" s="6">
        <v>117868</v>
      </c>
      <c r="G234" s="6">
        <v>195539</v>
      </c>
      <c r="H234" s="6">
        <f>8448*60</f>
        <v>506880</v>
      </c>
      <c r="I234" s="6">
        <f>8332*60</f>
        <v>499920</v>
      </c>
    </row>
    <row r="235" spans="2:9" x14ac:dyDescent="0.35">
      <c r="B235" s="20" t="s">
        <v>20</v>
      </c>
      <c r="C235" s="20" t="s">
        <v>56</v>
      </c>
      <c r="D235" s="4" t="s">
        <v>32</v>
      </c>
      <c r="E235" s="6">
        <v>504</v>
      </c>
      <c r="F235" s="6">
        <v>772</v>
      </c>
      <c r="G235" s="6">
        <v>1556</v>
      </c>
      <c r="H235" s="6">
        <v>1723</v>
      </c>
      <c r="I235" s="6">
        <v>2047</v>
      </c>
    </row>
    <row r="236" spans="2:9" x14ac:dyDescent="0.35">
      <c r="B236" s="21"/>
      <c r="C236" s="21"/>
      <c r="D236" s="4" t="s">
        <v>33</v>
      </c>
      <c r="E236" s="6">
        <v>40</v>
      </c>
      <c r="F236" s="6">
        <v>49</v>
      </c>
      <c r="G236" s="6">
        <v>56</v>
      </c>
      <c r="H236" s="6">
        <v>51</v>
      </c>
      <c r="I236" s="6">
        <v>49</v>
      </c>
    </row>
    <row r="237" spans="2:9" x14ac:dyDescent="0.35">
      <c r="B237" s="21"/>
      <c r="C237" s="21"/>
      <c r="D237" s="4" t="s">
        <v>34</v>
      </c>
      <c r="E237" s="6">
        <v>20074</v>
      </c>
      <c r="F237" s="6">
        <v>38053</v>
      </c>
      <c r="G237" s="6">
        <v>85781</v>
      </c>
      <c r="H237" s="6">
        <f>1453*60</f>
        <v>87180</v>
      </c>
      <c r="I237" s="6">
        <f>1668*60</f>
        <v>100080</v>
      </c>
    </row>
    <row r="238" spans="2:9" x14ac:dyDescent="0.35">
      <c r="B238" s="21"/>
      <c r="C238" s="20" t="s">
        <v>58</v>
      </c>
      <c r="D238" s="4" t="s">
        <v>32</v>
      </c>
      <c r="E238" s="6">
        <v>2287</v>
      </c>
      <c r="F238" s="6">
        <v>2039</v>
      </c>
      <c r="G238" s="6">
        <v>4546</v>
      </c>
      <c r="H238" s="6">
        <v>5609</v>
      </c>
      <c r="I238" s="6">
        <v>5841</v>
      </c>
    </row>
    <row r="239" spans="2:9" x14ac:dyDescent="0.35">
      <c r="B239" s="21"/>
      <c r="C239" s="21"/>
      <c r="D239" s="4" t="s">
        <v>33</v>
      </c>
      <c r="E239" s="6">
        <v>41</v>
      </c>
      <c r="F239" s="6">
        <v>39</v>
      </c>
      <c r="G239" s="6">
        <v>39</v>
      </c>
      <c r="H239" s="6">
        <v>35</v>
      </c>
      <c r="I239" s="6">
        <v>37</v>
      </c>
    </row>
    <row r="240" spans="2:9" x14ac:dyDescent="0.35">
      <c r="B240" s="21"/>
      <c r="C240" s="21"/>
      <c r="D240" s="4" t="s">
        <v>34</v>
      </c>
      <c r="E240" s="6">
        <v>94796</v>
      </c>
      <c r="F240" s="6">
        <v>78509</v>
      </c>
      <c r="G240" s="6">
        <v>175568</v>
      </c>
      <c r="H240" s="6">
        <f>3294*60</f>
        <v>197640</v>
      </c>
      <c r="I240" s="6">
        <f>3578*60</f>
        <v>214680</v>
      </c>
    </row>
    <row r="241" spans="1:9" x14ac:dyDescent="0.35">
      <c r="C241" s="4"/>
      <c r="D241" s="4"/>
      <c r="E241" s="5"/>
    </row>
    <row r="242" spans="1:9" x14ac:dyDescent="0.35">
      <c r="C242" s="4" t="s">
        <v>25</v>
      </c>
      <c r="D242" s="4" t="s">
        <v>32</v>
      </c>
      <c r="E242" s="5">
        <f>+E232+E235+E238</f>
        <v>8265</v>
      </c>
      <c r="F242" s="5">
        <f t="shared" ref="F242:G242" si="28">+F232+F235+F238</f>
        <v>5961</v>
      </c>
      <c r="G242" s="5">
        <f t="shared" si="28"/>
        <v>12071</v>
      </c>
      <c r="H242" s="5">
        <f t="shared" ref="H242:I242" si="29">+H232+H235+H238</f>
        <v>21119</v>
      </c>
      <c r="I242" s="5">
        <f t="shared" si="29"/>
        <v>22660</v>
      </c>
    </row>
    <row r="243" spans="1:9" x14ac:dyDescent="0.35">
      <c r="C243" s="4"/>
      <c r="D243" s="4" t="s">
        <v>33</v>
      </c>
      <c r="E243" s="5">
        <f>+E244/E242</f>
        <v>37.287719298245612</v>
      </c>
      <c r="F243" s="5">
        <f t="shared" ref="F243:G243" si="30">+F244/F242</f>
        <v>39.327294078174802</v>
      </c>
      <c r="G243" s="5">
        <f t="shared" si="30"/>
        <v>37.850053848065613</v>
      </c>
      <c r="H243" s="5">
        <f t="shared" ref="H243:I243" si="31">+H244/H242</f>
        <v>37.487570434206162</v>
      </c>
      <c r="I243" s="5">
        <f t="shared" si="31"/>
        <v>35.952338923212707</v>
      </c>
    </row>
    <row r="244" spans="1:9" x14ac:dyDescent="0.35">
      <c r="C244" s="4"/>
      <c r="D244" s="4" t="s">
        <v>34</v>
      </c>
      <c r="E244" s="5">
        <f>+E234+E237+E240</f>
        <v>308183</v>
      </c>
      <c r="F244" s="5">
        <f t="shared" ref="F244:G244" si="32">+F234+F237+F240</f>
        <v>234430</v>
      </c>
      <c r="G244" s="5">
        <f t="shared" si="32"/>
        <v>456888</v>
      </c>
      <c r="H244" s="5">
        <f t="shared" ref="H244:I244" si="33">+H234+H237+H240</f>
        <v>791700</v>
      </c>
      <c r="I244" s="5">
        <f t="shared" si="33"/>
        <v>814680</v>
      </c>
    </row>
    <row r="245" spans="1:9" x14ac:dyDescent="0.35">
      <c r="C245" s="4"/>
      <c r="D245" s="4"/>
      <c r="E245" s="5"/>
      <c r="F245" s="5"/>
      <c r="G245" s="5"/>
    </row>
    <row r="246" spans="1:9" ht="31" x14ac:dyDescent="0.35">
      <c r="A246" s="1" t="s">
        <v>0</v>
      </c>
      <c r="B246" s="1" t="s">
        <v>1</v>
      </c>
      <c r="C246" s="1" t="s">
        <v>2</v>
      </c>
      <c r="D246" s="1" t="s">
        <v>3</v>
      </c>
      <c r="E246" s="2" t="s">
        <v>4</v>
      </c>
      <c r="F246" s="2" t="s">
        <v>5</v>
      </c>
      <c r="G246" s="2" t="s">
        <v>6</v>
      </c>
      <c r="H246" s="2" t="s">
        <v>111</v>
      </c>
      <c r="I246" s="11" t="s">
        <v>114</v>
      </c>
    </row>
    <row r="247" spans="1:9" x14ac:dyDescent="0.35">
      <c r="A247" s="20" t="s">
        <v>60</v>
      </c>
      <c r="B247" s="4" t="s">
        <v>61</v>
      </c>
      <c r="C247" s="4" t="s">
        <v>62</v>
      </c>
      <c r="D247" s="4" t="s">
        <v>61</v>
      </c>
      <c r="E247" s="5">
        <v>4634</v>
      </c>
      <c r="F247" s="5">
        <v>2865</v>
      </c>
      <c r="G247" s="5">
        <v>1666</v>
      </c>
      <c r="H247" s="5">
        <v>1059</v>
      </c>
      <c r="I247" s="5">
        <v>832</v>
      </c>
    </row>
    <row r="248" spans="1:9" x14ac:dyDescent="0.35">
      <c r="A248" s="21"/>
      <c r="B248" s="4" t="s">
        <v>63</v>
      </c>
      <c r="C248" s="4" t="s">
        <v>64</v>
      </c>
      <c r="D248" s="4" t="s">
        <v>63</v>
      </c>
      <c r="E248" s="5">
        <v>5752</v>
      </c>
      <c r="F248" s="6">
        <v>4805</v>
      </c>
      <c r="G248" s="6">
        <v>2183</v>
      </c>
      <c r="H248" s="6">
        <v>951</v>
      </c>
      <c r="I248" s="6">
        <v>699</v>
      </c>
    </row>
    <row r="249" spans="1:9" x14ac:dyDescent="0.35">
      <c r="A249" s="21"/>
      <c r="B249" s="4" t="s">
        <v>65</v>
      </c>
      <c r="C249" s="4" t="s">
        <v>66</v>
      </c>
      <c r="D249" s="4" t="s">
        <v>65</v>
      </c>
      <c r="E249" s="5">
        <v>2730</v>
      </c>
      <c r="F249" s="6">
        <v>1025</v>
      </c>
      <c r="G249" s="6">
        <v>157</v>
      </c>
      <c r="H249" s="6">
        <v>262</v>
      </c>
      <c r="I249" s="6">
        <v>252</v>
      </c>
    </row>
    <row r="250" spans="1:9" x14ac:dyDescent="0.35">
      <c r="A250" s="21"/>
      <c r="B250" s="20" t="s">
        <v>20</v>
      </c>
      <c r="C250" s="4" t="s">
        <v>67</v>
      </c>
      <c r="D250" s="4" t="s">
        <v>68</v>
      </c>
      <c r="E250" s="5">
        <v>2341</v>
      </c>
      <c r="F250" s="6">
        <v>1436</v>
      </c>
      <c r="G250" s="6">
        <v>505</v>
      </c>
      <c r="H250" s="6">
        <v>341</v>
      </c>
      <c r="I250" s="6">
        <v>268</v>
      </c>
    </row>
    <row r="251" spans="1:9" x14ac:dyDescent="0.35">
      <c r="A251" s="21"/>
      <c r="B251" s="21"/>
      <c r="C251" s="4" t="s">
        <v>70</v>
      </c>
      <c r="D251" s="4" t="s">
        <v>71</v>
      </c>
      <c r="E251" s="5">
        <v>6600</v>
      </c>
      <c r="F251" s="6">
        <v>4621</v>
      </c>
      <c r="G251" s="6">
        <v>2650</v>
      </c>
      <c r="H251" s="6">
        <v>1510</v>
      </c>
      <c r="I251" s="6">
        <v>1368</v>
      </c>
    </row>
    <row r="252" spans="1:9" x14ac:dyDescent="0.35">
      <c r="A252" s="21"/>
      <c r="B252" s="21"/>
      <c r="C252" s="4" t="s">
        <v>72</v>
      </c>
      <c r="D252" s="4" t="s">
        <v>73</v>
      </c>
      <c r="E252" s="5">
        <v>217</v>
      </c>
      <c r="F252" s="6">
        <v>79</v>
      </c>
      <c r="G252" s="6">
        <v>42</v>
      </c>
      <c r="H252" s="6">
        <v>41</v>
      </c>
      <c r="I252" s="6">
        <v>26</v>
      </c>
    </row>
    <row r="253" spans="1:9" x14ac:dyDescent="0.35">
      <c r="C253" s="4" t="s">
        <v>127</v>
      </c>
      <c r="D253" s="4" t="s">
        <v>128</v>
      </c>
      <c r="E253" s="5"/>
      <c r="F253" s="6">
        <v>49</v>
      </c>
      <c r="G253" s="6">
        <v>49</v>
      </c>
      <c r="H253" s="6">
        <v>115</v>
      </c>
      <c r="I253" s="6">
        <v>7</v>
      </c>
    </row>
    <row r="254" spans="1:9" x14ac:dyDescent="0.35">
      <c r="C254" s="4"/>
      <c r="D254" s="4"/>
      <c r="E254" s="5"/>
      <c r="F254" s="5"/>
      <c r="G254" s="5"/>
      <c r="H254" s="5"/>
      <c r="I254" s="5"/>
    </row>
    <row r="255" spans="1:9" x14ac:dyDescent="0.35">
      <c r="C255" s="4"/>
      <c r="D255" s="12" t="s">
        <v>25</v>
      </c>
      <c r="E255" s="13">
        <f>SUM(E247:E252)</f>
        <v>22274</v>
      </c>
      <c r="F255" s="13">
        <f>SUM(F247:F253)</f>
        <v>14880</v>
      </c>
      <c r="G255" s="13">
        <f>SUM(G247:G253)</f>
        <v>7252</v>
      </c>
      <c r="H255" s="13">
        <f>SUM(H247:H253)</f>
        <v>4279</v>
      </c>
      <c r="I255" s="13">
        <f>SUM(I247:I253)</f>
        <v>3452</v>
      </c>
    </row>
    <row r="256" spans="1:9" x14ac:dyDescent="0.35">
      <c r="C256" s="4"/>
      <c r="D256" s="4"/>
      <c r="E256" s="5"/>
      <c r="F256" s="13"/>
      <c r="G256" s="5"/>
      <c r="H256" s="5"/>
      <c r="I256" s="5"/>
    </row>
    <row r="257" spans="2:9" x14ac:dyDescent="0.35">
      <c r="C257" s="4"/>
      <c r="D257" s="4"/>
      <c r="E257" s="5"/>
      <c r="F257" s="5"/>
      <c r="G257" s="5"/>
    </row>
    <row r="258" spans="2:9" x14ac:dyDescent="0.35">
      <c r="B258" s="22" t="s">
        <v>26</v>
      </c>
      <c r="C258" s="22"/>
      <c r="D258" s="22"/>
      <c r="E258" s="2">
        <v>2020</v>
      </c>
      <c r="F258" s="2">
        <v>2021</v>
      </c>
      <c r="G258" s="2">
        <v>2022</v>
      </c>
      <c r="H258" s="2">
        <v>2023</v>
      </c>
      <c r="I258" s="2">
        <v>2024</v>
      </c>
    </row>
    <row r="259" spans="2:9" x14ac:dyDescent="0.35">
      <c r="B259" s="20" t="s">
        <v>61</v>
      </c>
      <c r="C259" s="20" t="s">
        <v>62</v>
      </c>
      <c r="D259" s="4" t="s">
        <v>26</v>
      </c>
      <c r="E259" s="6">
        <v>17774</v>
      </c>
      <c r="F259" s="6">
        <v>30744</v>
      </c>
      <c r="G259" s="6">
        <v>30825</v>
      </c>
      <c r="H259" s="6">
        <v>22489</v>
      </c>
      <c r="I259" s="6">
        <v>31243</v>
      </c>
    </row>
    <row r="260" spans="2:9" x14ac:dyDescent="0.35">
      <c r="B260" s="21"/>
      <c r="C260" s="21"/>
      <c r="D260" s="4" t="s">
        <v>27</v>
      </c>
      <c r="E260" s="6">
        <v>13912</v>
      </c>
      <c r="F260" s="6">
        <v>14649</v>
      </c>
      <c r="G260" s="6">
        <v>17121</v>
      </c>
      <c r="H260" s="6">
        <v>19887</v>
      </c>
      <c r="I260" s="6">
        <v>22700</v>
      </c>
    </row>
    <row r="261" spans="2:9" x14ac:dyDescent="0.35">
      <c r="B261" s="21"/>
      <c r="C261" s="21"/>
      <c r="D261" s="16" t="s">
        <v>28</v>
      </c>
      <c r="E261" s="17">
        <f>+E260+E259</f>
        <v>31686</v>
      </c>
      <c r="F261" s="17">
        <f>+F260+F259</f>
        <v>45393</v>
      </c>
      <c r="G261" s="17">
        <f t="shared" ref="G261:H261" si="34">+G260+G259</f>
        <v>47946</v>
      </c>
      <c r="H261" s="17">
        <f t="shared" si="34"/>
        <v>42376</v>
      </c>
      <c r="I261" s="17">
        <f t="shared" ref="I261" si="35">+I260+I259</f>
        <v>53943</v>
      </c>
    </row>
    <row r="262" spans="2:9" x14ac:dyDescent="0.35">
      <c r="B262" s="20" t="s">
        <v>63</v>
      </c>
      <c r="C262" s="20" t="s">
        <v>64</v>
      </c>
      <c r="D262" s="4" t="s">
        <v>26</v>
      </c>
      <c r="E262" s="6">
        <v>20385</v>
      </c>
      <c r="F262" s="6">
        <v>28863</v>
      </c>
      <c r="G262" s="6">
        <v>39793</v>
      </c>
      <c r="H262" s="6">
        <v>37593</v>
      </c>
      <c r="I262" s="6">
        <v>41779</v>
      </c>
    </row>
    <row r="263" spans="2:9" x14ac:dyDescent="0.35">
      <c r="B263" s="21"/>
      <c r="C263" s="21"/>
      <c r="D263" s="4" t="s">
        <v>27</v>
      </c>
      <c r="E263" s="6">
        <v>12768</v>
      </c>
      <c r="F263" s="6">
        <v>14262</v>
      </c>
      <c r="G263" s="6">
        <v>15498</v>
      </c>
      <c r="H263" s="6">
        <v>17526</v>
      </c>
      <c r="I263" s="6">
        <v>20850</v>
      </c>
    </row>
    <row r="264" spans="2:9" x14ac:dyDescent="0.35">
      <c r="B264" s="21"/>
      <c r="C264" s="21"/>
      <c r="D264" s="16" t="s">
        <v>28</v>
      </c>
      <c r="E264" s="17">
        <f>+E263+E262</f>
        <v>33153</v>
      </c>
      <c r="F264" s="17">
        <f>+F263+F262</f>
        <v>43125</v>
      </c>
      <c r="G264" s="17">
        <f t="shared" ref="G264:H264" si="36">+G263+G262</f>
        <v>55291</v>
      </c>
      <c r="H264" s="17">
        <f t="shared" si="36"/>
        <v>55119</v>
      </c>
      <c r="I264" s="17">
        <f t="shared" ref="I264" si="37">+I263+I262</f>
        <v>62629</v>
      </c>
    </row>
    <row r="265" spans="2:9" x14ac:dyDescent="0.35">
      <c r="B265" s="20" t="s">
        <v>65</v>
      </c>
      <c r="C265" s="20" t="s">
        <v>66</v>
      </c>
      <c r="D265" s="4" t="s">
        <v>26</v>
      </c>
      <c r="E265" s="6">
        <v>11497</v>
      </c>
      <c r="F265" s="6">
        <v>19148</v>
      </c>
      <c r="G265" s="6">
        <v>19191</v>
      </c>
      <c r="H265" s="6">
        <v>16765</v>
      </c>
      <c r="I265" s="6">
        <v>8611</v>
      </c>
    </row>
    <row r="266" spans="2:9" x14ac:dyDescent="0.35">
      <c r="B266" s="21"/>
      <c r="C266" s="21"/>
      <c r="D266" s="4" t="s">
        <v>27</v>
      </c>
      <c r="E266" s="6">
        <v>3808</v>
      </c>
      <c r="F266" s="6">
        <v>4939</v>
      </c>
      <c r="G266" s="6">
        <v>4815</v>
      </c>
      <c r="H266" s="6">
        <v>5350</v>
      </c>
      <c r="I266" s="6">
        <v>5980</v>
      </c>
    </row>
    <row r="267" spans="2:9" x14ac:dyDescent="0.35">
      <c r="B267" s="21"/>
      <c r="C267" s="21"/>
      <c r="D267" s="16" t="s">
        <v>28</v>
      </c>
      <c r="E267" s="17">
        <f>+E266+E265</f>
        <v>15305</v>
      </c>
      <c r="F267" s="17">
        <f>+F266+F265</f>
        <v>24087</v>
      </c>
      <c r="G267" s="17">
        <f t="shared" ref="G267:H267" si="38">+G266+G265</f>
        <v>24006</v>
      </c>
      <c r="H267" s="17">
        <f t="shared" si="38"/>
        <v>22115</v>
      </c>
      <c r="I267" s="17">
        <f t="shared" ref="I267" si="39">+I266+I265</f>
        <v>14591</v>
      </c>
    </row>
    <row r="268" spans="2:9" x14ac:dyDescent="0.35">
      <c r="B268" s="20" t="s">
        <v>20</v>
      </c>
      <c r="C268" s="20" t="s">
        <v>67</v>
      </c>
      <c r="D268" s="4" t="s">
        <v>26</v>
      </c>
      <c r="E268" s="6">
        <v>9637</v>
      </c>
      <c r="F268" s="6">
        <v>14951</v>
      </c>
      <c r="G268" s="6">
        <v>16996</v>
      </c>
      <c r="H268" s="6">
        <v>16277</v>
      </c>
      <c r="I268" s="6">
        <v>16433</v>
      </c>
    </row>
    <row r="269" spans="2:9" x14ac:dyDescent="0.35">
      <c r="B269" s="21"/>
      <c r="C269" s="21"/>
      <c r="D269" s="4" t="s">
        <v>27</v>
      </c>
      <c r="E269" s="6">
        <v>4038</v>
      </c>
      <c r="F269" s="6">
        <v>5192</v>
      </c>
      <c r="G269" s="6">
        <v>5936</v>
      </c>
      <c r="H269" s="6">
        <v>6800</v>
      </c>
      <c r="I269" s="6">
        <v>8217</v>
      </c>
    </row>
    <row r="270" spans="2:9" x14ac:dyDescent="0.35">
      <c r="B270" s="21"/>
      <c r="C270" s="21"/>
      <c r="D270" s="16" t="s">
        <v>28</v>
      </c>
      <c r="E270" s="17">
        <f>+E269+E268</f>
        <v>13675</v>
      </c>
      <c r="F270" s="17">
        <f>+F269+F268</f>
        <v>20143</v>
      </c>
      <c r="G270" s="17">
        <f t="shared" ref="G270:H270" si="40">+G269+G268</f>
        <v>22932</v>
      </c>
      <c r="H270" s="17">
        <f t="shared" si="40"/>
        <v>23077</v>
      </c>
      <c r="I270" s="17">
        <f t="shared" ref="I270" si="41">+I269+I268</f>
        <v>24650</v>
      </c>
    </row>
    <row r="271" spans="2:9" hidden="1" x14ac:dyDescent="0.35">
      <c r="B271" s="21"/>
      <c r="C271" s="20" t="s">
        <v>69</v>
      </c>
      <c r="D271" s="4" t="s">
        <v>26</v>
      </c>
      <c r="E271" s="6"/>
      <c r="F271" s="6"/>
      <c r="G271" s="6"/>
      <c r="H271" s="6"/>
      <c r="I271" s="6"/>
    </row>
    <row r="272" spans="2:9" hidden="1" x14ac:dyDescent="0.35">
      <c r="B272" s="21"/>
      <c r="C272" s="21"/>
      <c r="D272" s="4" t="s">
        <v>27</v>
      </c>
      <c r="E272" s="6"/>
      <c r="F272" s="6"/>
      <c r="G272" s="6"/>
      <c r="H272" s="6"/>
      <c r="I272" s="6"/>
    </row>
    <row r="273" spans="2:9" hidden="1" x14ac:dyDescent="0.35">
      <c r="B273" s="21"/>
      <c r="C273" s="21"/>
      <c r="D273" s="16" t="s">
        <v>28</v>
      </c>
      <c r="E273" s="17">
        <f>+E272+E271</f>
        <v>0</v>
      </c>
      <c r="F273" s="17">
        <f>+F272+F271</f>
        <v>0</v>
      </c>
      <c r="G273" s="17">
        <f t="shared" ref="G273:H273" si="42">+G272+G271</f>
        <v>0</v>
      </c>
      <c r="H273" s="17">
        <f t="shared" si="42"/>
        <v>0</v>
      </c>
      <c r="I273" s="17">
        <f t="shared" ref="I273" si="43">+I272+I271</f>
        <v>0</v>
      </c>
    </row>
    <row r="274" spans="2:9" x14ac:dyDescent="0.35">
      <c r="B274" s="21"/>
      <c r="C274" s="20" t="s">
        <v>70</v>
      </c>
      <c r="D274" s="4" t="s">
        <v>26</v>
      </c>
      <c r="E274" s="6">
        <v>26219</v>
      </c>
      <c r="F274" s="6">
        <v>35727</v>
      </c>
      <c r="G274" s="6">
        <v>43573</v>
      </c>
      <c r="H274" s="6">
        <v>49832</v>
      </c>
      <c r="I274" s="6">
        <v>48047</v>
      </c>
    </row>
    <row r="275" spans="2:9" x14ac:dyDescent="0.35">
      <c r="B275" s="21"/>
      <c r="C275" s="21"/>
      <c r="D275" s="4" t="s">
        <v>27</v>
      </c>
      <c r="E275" s="6">
        <v>21999</v>
      </c>
      <c r="F275" s="6">
        <v>25200</v>
      </c>
      <c r="G275" s="6">
        <v>27227</v>
      </c>
      <c r="H275" s="6">
        <v>33348</v>
      </c>
      <c r="I275" s="6">
        <v>72635</v>
      </c>
    </row>
    <row r="276" spans="2:9" x14ac:dyDescent="0.35">
      <c r="B276" s="21"/>
      <c r="C276" s="21"/>
      <c r="D276" s="16" t="s">
        <v>28</v>
      </c>
      <c r="E276" s="17">
        <f>+E275+E274</f>
        <v>48218</v>
      </c>
      <c r="F276" s="17">
        <f>+F275+F274</f>
        <v>60927</v>
      </c>
      <c r="G276" s="17">
        <f t="shared" ref="G276:H276" si="44">+G275+G274</f>
        <v>70800</v>
      </c>
      <c r="H276" s="17">
        <f t="shared" si="44"/>
        <v>83180</v>
      </c>
      <c r="I276" s="17">
        <f t="shared" ref="I276" si="45">+I275+I274</f>
        <v>120682</v>
      </c>
    </row>
    <row r="277" spans="2:9" x14ac:dyDescent="0.35">
      <c r="B277" s="21"/>
      <c r="C277" s="20" t="s">
        <v>72</v>
      </c>
      <c r="D277" s="4" t="s">
        <v>26</v>
      </c>
      <c r="E277" s="6">
        <v>463</v>
      </c>
      <c r="F277" s="6">
        <v>649</v>
      </c>
      <c r="G277" s="6">
        <v>568</v>
      </c>
      <c r="H277" s="6">
        <v>573</v>
      </c>
      <c r="I277" s="6">
        <v>742</v>
      </c>
    </row>
    <row r="278" spans="2:9" x14ac:dyDescent="0.35">
      <c r="B278" s="21"/>
      <c r="C278" s="21"/>
      <c r="D278" s="4" t="s">
        <v>27</v>
      </c>
      <c r="E278" s="6">
        <v>417</v>
      </c>
      <c r="F278" s="6">
        <v>1179</v>
      </c>
      <c r="G278" s="6">
        <v>1078</v>
      </c>
      <c r="H278" s="6">
        <v>637</v>
      </c>
      <c r="I278" s="6">
        <v>679</v>
      </c>
    </row>
    <row r="279" spans="2:9" x14ac:dyDescent="0.35">
      <c r="B279" s="21"/>
      <c r="C279" s="21"/>
      <c r="D279" s="16" t="s">
        <v>28</v>
      </c>
      <c r="E279" s="17">
        <f>+E278+E277</f>
        <v>880</v>
      </c>
      <c r="F279" s="17">
        <f>+F278+F277</f>
        <v>1828</v>
      </c>
      <c r="G279" s="17">
        <f t="shared" ref="G279:H279" si="46">+G278+G277</f>
        <v>1646</v>
      </c>
      <c r="H279" s="17">
        <f t="shared" si="46"/>
        <v>1210</v>
      </c>
      <c r="I279" s="17">
        <f t="shared" ref="I279" si="47">+I278+I277</f>
        <v>1421</v>
      </c>
    </row>
    <row r="280" spans="2:9" x14ac:dyDescent="0.35">
      <c r="C280" s="3" t="s">
        <v>127</v>
      </c>
      <c r="D280" s="4" t="s">
        <v>26</v>
      </c>
      <c r="E280" s="17">
        <v>0</v>
      </c>
      <c r="F280" s="17">
        <v>0</v>
      </c>
      <c r="G280" s="17">
        <v>0</v>
      </c>
      <c r="H280" s="17">
        <v>116</v>
      </c>
      <c r="I280" s="17">
        <v>2362</v>
      </c>
    </row>
    <row r="281" spans="2:9" x14ac:dyDescent="0.35">
      <c r="D281" s="4" t="s">
        <v>27</v>
      </c>
      <c r="E281" s="17">
        <v>0</v>
      </c>
      <c r="F281" s="17">
        <v>0</v>
      </c>
      <c r="G281" s="17">
        <v>0</v>
      </c>
      <c r="H281" s="17">
        <v>0</v>
      </c>
      <c r="I281" s="17">
        <v>412</v>
      </c>
    </row>
    <row r="282" spans="2:9" x14ac:dyDescent="0.35">
      <c r="D282" s="16" t="s">
        <v>28</v>
      </c>
      <c r="E282" s="17">
        <f>+E281+E280</f>
        <v>0</v>
      </c>
      <c r="F282" s="17">
        <f>+F281+F280</f>
        <v>0</v>
      </c>
      <c r="G282" s="17">
        <f t="shared" ref="G282:I282" si="48">+G281+G280</f>
        <v>0</v>
      </c>
      <c r="H282" s="17">
        <f t="shared" si="48"/>
        <v>116</v>
      </c>
      <c r="I282" s="17">
        <f t="shared" si="48"/>
        <v>2774</v>
      </c>
    </row>
    <row r="283" spans="2:9" x14ac:dyDescent="0.35">
      <c r="C283" s="4"/>
      <c r="D283" s="4"/>
      <c r="E283" s="5"/>
    </row>
    <row r="284" spans="2:9" x14ac:dyDescent="0.35">
      <c r="C284" s="4" t="s">
        <v>25</v>
      </c>
      <c r="D284" s="16" t="s">
        <v>26</v>
      </c>
      <c r="E284" s="17">
        <f>+E259+E262+E265+E268+E271+E274+E277+E280</f>
        <v>85975</v>
      </c>
      <c r="F284" s="17">
        <f t="shared" ref="F284:I284" si="49">+F259+F262+F265+F268+F271+F274+F277+F280</f>
        <v>130082</v>
      </c>
      <c r="G284" s="17">
        <f t="shared" si="49"/>
        <v>150946</v>
      </c>
      <c r="H284" s="17">
        <f t="shared" si="49"/>
        <v>143645</v>
      </c>
      <c r="I284" s="17">
        <f t="shared" si="49"/>
        <v>149217</v>
      </c>
    </row>
    <row r="285" spans="2:9" x14ac:dyDescent="0.35">
      <c r="C285" s="4"/>
      <c r="D285" s="16" t="s">
        <v>27</v>
      </c>
      <c r="E285" s="17">
        <f>+E260+E263+E266+E269+E272+E275+E278+E281</f>
        <v>56942</v>
      </c>
      <c r="F285" s="17">
        <f t="shared" ref="F285:I285" si="50">+F260+F263+F266+F269+F272+F275+F278+F281</f>
        <v>65421</v>
      </c>
      <c r="G285" s="17">
        <f t="shared" si="50"/>
        <v>71675</v>
      </c>
      <c r="H285" s="17">
        <f t="shared" si="50"/>
        <v>83548</v>
      </c>
      <c r="I285" s="17">
        <f t="shared" si="50"/>
        <v>131473</v>
      </c>
    </row>
    <row r="286" spans="2:9" x14ac:dyDescent="0.35">
      <c r="C286" s="4"/>
      <c r="D286" s="16" t="s">
        <v>28</v>
      </c>
      <c r="E286" s="17">
        <f>+E261+E264+E267+E270+E273+E276+E279+E282</f>
        <v>142917</v>
      </c>
      <c r="F286" s="17">
        <f t="shared" ref="F286:I286" si="51">+F261+F264+F267+F270+F273+F276+F279+F282</f>
        <v>195503</v>
      </c>
      <c r="G286" s="17">
        <f t="shared" si="51"/>
        <v>222621</v>
      </c>
      <c r="H286" s="17">
        <f t="shared" si="51"/>
        <v>227193</v>
      </c>
      <c r="I286" s="17">
        <f t="shared" si="51"/>
        <v>280690</v>
      </c>
    </row>
    <row r="287" spans="2:9" x14ac:dyDescent="0.35">
      <c r="C287" s="4"/>
      <c r="D287" s="4"/>
      <c r="E287" s="5"/>
    </row>
    <row r="288" spans="2:9" x14ac:dyDescent="0.35">
      <c r="B288" s="22" t="s">
        <v>29</v>
      </c>
      <c r="C288" s="22"/>
      <c r="D288" s="22"/>
      <c r="E288" s="2">
        <v>2020</v>
      </c>
      <c r="F288" s="2">
        <v>2021</v>
      </c>
      <c r="G288" s="2">
        <v>2022</v>
      </c>
      <c r="H288" s="2">
        <v>2023</v>
      </c>
      <c r="I288" s="2">
        <v>2024</v>
      </c>
    </row>
    <row r="289" spans="2:9" x14ac:dyDescent="0.35">
      <c r="B289" s="20" t="s">
        <v>61</v>
      </c>
      <c r="C289" s="20" t="s">
        <v>62</v>
      </c>
      <c r="D289" s="4" t="s">
        <v>30</v>
      </c>
      <c r="E289" s="6">
        <v>654</v>
      </c>
      <c r="F289" s="6">
        <v>1951</v>
      </c>
      <c r="G289" s="6">
        <v>3215</v>
      </c>
      <c r="H289" s="6">
        <f>6575+2537</f>
        <v>9112</v>
      </c>
      <c r="I289" s="6">
        <v>3036</v>
      </c>
    </row>
    <row r="290" spans="2:9" x14ac:dyDescent="0.35">
      <c r="B290" s="21"/>
      <c r="C290" s="21"/>
      <c r="D290" s="4" t="s">
        <v>29</v>
      </c>
      <c r="E290" s="6">
        <v>131</v>
      </c>
      <c r="F290" s="6">
        <v>54</v>
      </c>
      <c r="G290" s="6">
        <v>85</v>
      </c>
      <c r="H290" s="6">
        <f>158+117</f>
        <v>275</v>
      </c>
      <c r="I290" s="6">
        <v>175</v>
      </c>
    </row>
    <row r="291" spans="2:9" x14ac:dyDescent="0.35">
      <c r="B291" s="20" t="s">
        <v>63</v>
      </c>
      <c r="C291" s="20" t="s">
        <v>64</v>
      </c>
      <c r="D291" s="4" t="s">
        <v>30</v>
      </c>
      <c r="E291" s="6">
        <v>635</v>
      </c>
      <c r="F291" s="6">
        <v>2131</v>
      </c>
      <c r="G291" s="6">
        <v>264</v>
      </c>
      <c r="H291" s="6">
        <f>4556+581</f>
        <v>5137</v>
      </c>
      <c r="I291" s="6">
        <v>4928</v>
      </c>
    </row>
    <row r="292" spans="2:9" x14ac:dyDescent="0.35">
      <c r="B292" s="21"/>
      <c r="C292" s="21"/>
      <c r="D292" s="4" t="s">
        <v>29</v>
      </c>
      <c r="E292" s="6">
        <v>151</v>
      </c>
      <c r="F292" s="6">
        <v>33</v>
      </c>
      <c r="G292" s="6">
        <v>54</v>
      </c>
      <c r="H292" s="6">
        <f>202+64</f>
        <v>266</v>
      </c>
      <c r="I292" s="6">
        <v>221</v>
      </c>
    </row>
    <row r="293" spans="2:9" x14ac:dyDescent="0.35">
      <c r="B293" s="20" t="s">
        <v>65</v>
      </c>
      <c r="C293" s="20" t="s">
        <v>66</v>
      </c>
      <c r="D293" s="4" t="s">
        <v>30</v>
      </c>
      <c r="E293" s="6">
        <v>342</v>
      </c>
      <c r="F293" s="6">
        <v>1704</v>
      </c>
      <c r="G293" s="6">
        <v>851</v>
      </c>
      <c r="H293" s="6">
        <f>988+153</f>
        <v>1141</v>
      </c>
      <c r="I293" s="6">
        <v>859</v>
      </c>
    </row>
    <row r="294" spans="2:9" x14ac:dyDescent="0.35">
      <c r="B294" s="21"/>
      <c r="C294" s="21"/>
      <c r="D294" s="4" t="s">
        <v>29</v>
      </c>
      <c r="E294" s="6">
        <v>57</v>
      </c>
      <c r="F294" s="6">
        <v>18</v>
      </c>
      <c r="G294" s="6">
        <v>43</v>
      </c>
      <c r="H294" s="6">
        <f>75+19</f>
        <v>94</v>
      </c>
      <c r="I294" s="6">
        <v>72</v>
      </c>
    </row>
    <row r="295" spans="2:9" x14ac:dyDescent="0.35">
      <c r="B295" s="20" t="s">
        <v>20</v>
      </c>
      <c r="C295" s="20" t="s">
        <v>67</v>
      </c>
      <c r="D295" s="4" t="s">
        <v>30</v>
      </c>
      <c r="E295" s="6">
        <v>1246</v>
      </c>
      <c r="F295" s="6">
        <v>4448</v>
      </c>
      <c r="G295" s="6">
        <v>4731</v>
      </c>
      <c r="H295" s="6">
        <f>2844+1276</f>
        <v>4120</v>
      </c>
      <c r="I295" s="6">
        <v>1774</v>
      </c>
    </row>
    <row r="296" spans="2:9" x14ac:dyDescent="0.35">
      <c r="B296" s="21"/>
      <c r="C296" s="21"/>
      <c r="D296" s="4" t="s">
        <v>29</v>
      </c>
      <c r="E296" s="6">
        <v>144</v>
      </c>
      <c r="F296" s="6">
        <v>149</v>
      </c>
      <c r="G296" s="6">
        <v>184</v>
      </c>
      <c r="H296" s="6">
        <f>159+63</f>
        <v>222</v>
      </c>
      <c r="I296" s="6">
        <v>123</v>
      </c>
    </row>
    <row r="297" spans="2:9" x14ac:dyDescent="0.35">
      <c r="B297" s="21"/>
      <c r="C297" s="20" t="s">
        <v>70</v>
      </c>
      <c r="D297" s="4" t="s">
        <v>30</v>
      </c>
      <c r="E297" s="6">
        <v>472</v>
      </c>
      <c r="F297" s="6">
        <v>2782</v>
      </c>
      <c r="G297" s="6">
        <v>1169</v>
      </c>
      <c r="H297" s="6">
        <f>4870+1753</f>
        <v>6623</v>
      </c>
      <c r="I297" s="6">
        <v>3045</v>
      </c>
    </row>
    <row r="298" spans="2:9" x14ac:dyDescent="0.35">
      <c r="B298" s="21"/>
      <c r="C298" s="21"/>
      <c r="D298" s="4" t="s">
        <v>29</v>
      </c>
      <c r="E298" s="6">
        <v>326</v>
      </c>
      <c r="F298" s="6">
        <v>66</v>
      </c>
      <c r="G298" s="6">
        <v>298</v>
      </c>
      <c r="H298" s="6">
        <f>360+108</f>
        <v>468</v>
      </c>
      <c r="I298" s="6">
        <v>156</v>
      </c>
    </row>
    <row r="299" spans="2:9" x14ac:dyDescent="0.35">
      <c r="C299" s="3" t="s">
        <v>127</v>
      </c>
      <c r="D299" s="4" t="s">
        <v>30</v>
      </c>
      <c r="E299" s="6">
        <v>0</v>
      </c>
      <c r="F299" s="6">
        <v>0</v>
      </c>
      <c r="G299" s="6">
        <v>0</v>
      </c>
      <c r="H299" s="6">
        <v>0</v>
      </c>
      <c r="I299" s="6">
        <v>2232</v>
      </c>
    </row>
    <row r="300" spans="2:9" x14ac:dyDescent="0.35">
      <c r="D300" s="4" t="s">
        <v>29</v>
      </c>
      <c r="E300" s="6">
        <v>0</v>
      </c>
      <c r="F300" s="6">
        <v>0</v>
      </c>
      <c r="G300" s="6">
        <v>0</v>
      </c>
      <c r="H300" s="6">
        <v>0</v>
      </c>
      <c r="I300" s="6">
        <v>162</v>
      </c>
    </row>
    <row r="301" spans="2:9" x14ac:dyDescent="0.35">
      <c r="C301" s="4"/>
      <c r="D301" s="4"/>
      <c r="E301" s="5"/>
    </row>
    <row r="302" spans="2:9" x14ac:dyDescent="0.35">
      <c r="C302" s="4" t="s">
        <v>25</v>
      </c>
      <c r="D302" s="4" t="s">
        <v>30</v>
      </c>
      <c r="E302" s="5">
        <f>+E289+E291+E293+E295+E297+E299</f>
        <v>3349</v>
      </c>
      <c r="F302" s="5">
        <f t="shared" ref="F302:I302" si="52">+F289+F291+F293+F295+F297+F299</f>
        <v>13016</v>
      </c>
      <c r="G302" s="5">
        <f t="shared" si="52"/>
        <v>10230</v>
      </c>
      <c r="H302" s="5">
        <f t="shared" si="52"/>
        <v>26133</v>
      </c>
      <c r="I302" s="5">
        <f t="shared" si="52"/>
        <v>15874</v>
      </c>
    </row>
    <row r="303" spans="2:9" x14ac:dyDescent="0.35">
      <c r="C303" s="4"/>
      <c r="D303" s="4" t="s">
        <v>29</v>
      </c>
      <c r="E303" s="5">
        <f>+E290+E292+E294+E296+E298+E300</f>
        <v>809</v>
      </c>
      <c r="F303" s="5">
        <f t="shared" ref="F303:I303" si="53">+F290+F292+F294+F296+F298+F300</f>
        <v>320</v>
      </c>
      <c r="G303" s="5">
        <f t="shared" si="53"/>
        <v>664</v>
      </c>
      <c r="H303" s="5">
        <f t="shared" si="53"/>
        <v>1325</v>
      </c>
      <c r="I303" s="5">
        <f t="shared" si="53"/>
        <v>909</v>
      </c>
    </row>
    <row r="304" spans="2:9" x14ac:dyDescent="0.35">
      <c r="C304" s="4"/>
      <c r="D304" s="4"/>
      <c r="E304" s="5"/>
    </row>
    <row r="305" spans="2:9" x14ac:dyDescent="0.35">
      <c r="B305" s="22" t="s">
        <v>31</v>
      </c>
      <c r="C305" s="22"/>
      <c r="D305" s="22"/>
      <c r="E305" s="2">
        <v>2020</v>
      </c>
      <c r="F305" s="2">
        <v>2021</v>
      </c>
      <c r="G305" s="2">
        <v>2022</v>
      </c>
      <c r="H305" s="2">
        <v>2023</v>
      </c>
      <c r="I305" s="2">
        <v>2024</v>
      </c>
    </row>
    <row r="306" spans="2:9" x14ac:dyDescent="0.35">
      <c r="B306" s="20" t="s">
        <v>61</v>
      </c>
      <c r="C306" s="20" t="s">
        <v>62</v>
      </c>
      <c r="D306" s="4" t="s">
        <v>32</v>
      </c>
      <c r="E306" s="6">
        <v>1102</v>
      </c>
      <c r="F306" s="6">
        <v>1158</v>
      </c>
      <c r="G306" s="6">
        <v>1231</v>
      </c>
      <c r="H306" s="6">
        <v>1897</v>
      </c>
      <c r="I306" s="6">
        <v>3070</v>
      </c>
    </row>
    <row r="307" spans="2:9" x14ac:dyDescent="0.35">
      <c r="B307" s="21"/>
      <c r="C307" s="21"/>
      <c r="D307" s="4" t="s">
        <v>33</v>
      </c>
      <c r="E307" s="6">
        <v>40</v>
      </c>
      <c r="F307" s="6">
        <v>35</v>
      </c>
      <c r="G307" s="6">
        <v>29</v>
      </c>
      <c r="H307" s="6">
        <v>30</v>
      </c>
      <c r="I307" s="6">
        <v>31</v>
      </c>
    </row>
    <row r="308" spans="2:9" x14ac:dyDescent="0.35">
      <c r="B308" s="21"/>
      <c r="C308" s="21"/>
      <c r="D308" s="4" t="s">
        <v>34</v>
      </c>
      <c r="E308" s="6">
        <v>43589</v>
      </c>
      <c r="F308" s="6">
        <v>40761</v>
      </c>
      <c r="G308" s="6">
        <v>35790</v>
      </c>
      <c r="H308" s="6">
        <f>934*60</f>
        <v>56040</v>
      </c>
      <c r="I308" s="6">
        <f>1568*60</f>
        <v>94080</v>
      </c>
    </row>
    <row r="309" spans="2:9" x14ac:dyDescent="0.35">
      <c r="B309" s="20" t="s">
        <v>63</v>
      </c>
      <c r="C309" s="20" t="s">
        <v>64</v>
      </c>
      <c r="D309" s="4" t="s">
        <v>32</v>
      </c>
      <c r="E309" s="6">
        <v>1037</v>
      </c>
      <c r="F309" s="6">
        <v>571</v>
      </c>
      <c r="G309" s="6">
        <v>1710</v>
      </c>
      <c r="H309" s="6">
        <v>2393</v>
      </c>
      <c r="I309" s="6">
        <v>2926</v>
      </c>
    </row>
    <row r="310" spans="2:9" x14ac:dyDescent="0.35">
      <c r="B310" s="21"/>
      <c r="C310" s="21"/>
      <c r="D310" s="4" t="s">
        <v>33</v>
      </c>
      <c r="E310" s="6">
        <v>45</v>
      </c>
      <c r="F310" s="6">
        <v>27</v>
      </c>
      <c r="G310" s="6">
        <v>28</v>
      </c>
      <c r="H310" s="6">
        <v>32</v>
      </c>
      <c r="I310" s="6">
        <v>33</v>
      </c>
    </row>
    <row r="311" spans="2:9" x14ac:dyDescent="0.35">
      <c r="B311" s="21"/>
      <c r="C311" s="21"/>
      <c r="D311" s="4" t="s">
        <v>34</v>
      </c>
      <c r="E311" s="6">
        <v>47029</v>
      </c>
      <c r="F311" s="6">
        <v>15252</v>
      </c>
      <c r="G311" s="6">
        <v>47996</v>
      </c>
      <c r="H311" s="6">
        <f>1292*60</f>
        <v>77520</v>
      </c>
      <c r="I311" s="6">
        <f>1633*60</f>
        <v>97980</v>
      </c>
    </row>
    <row r="312" spans="2:9" x14ac:dyDescent="0.35">
      <c r="B312" s="20" t="s">
        <v>65</v>
      </c>
      <c r="C312" s="20" t="s">
        <v>66</v>
      </c>
      <c r="D312" s="4" t="s">
        <v>32</v>
      </c>
      <c r="E312" s="6">
        <v>452</v>
      </c>
      <c r="F312" s="6">
        <v>491</v>
      </c>
      <c r="G312" s="6">
        <v>1013</v>
      </c>
      <c r="H312" s="6">
        <v>1125</v>
      </c>
      <c r="I312" s="6">
        <v>555</v>
      </c>
    </row>
    <row r="313" spans="2:9" x14ac:dyDescent="0.35">
      <c r="B313" s="21"/>
      <c r="C313" s="21"/>
      <c r="D313" s="4" t="s">
        <v>33</v>
      </c>
      <c r="E313" s="6">
        <v>39</v>
      </c>
      <c r="F313" s="6">
        <v>30</v>
      </c>
      <c r="G313" s="6">
        <v>31</v>
      </c>
      <c r="H313" s="6">
        <v>32</v>
      </c>
      <c r="I313" s="6">
        <v>34</v>
      </c>
    </row>
    <row r="314" spans="2:9" x14ac:dyDescent="0.35">
      <c r="B314" s="21"/>
      <c r="C314" s="21"/>
      <c r="D314" s="4" t="s">
        <v>34</v>
      </c>
      <c r="E314" s="6">
        <v>17499</v>
      </c>
      <c r="F314" s="6">
        <v>14532</v>
      </c>
      <c r="G314" s="6">
        <v>31566</v>
      </c>
      <c r="H314" s="6">
        <f>598*60</f>
        <v>35880</v>
      </c>
      <c r="I314" s="6">
        <f>311*60</f>
        <v>18660</v>
      </c>
    </row>
    <row r="315" spans="2:9" x14ac:dyDescent="0.35">
      <c r="B315" s="20" t="s">
        <v>20</v>
      </c>
      <c r="C315" s="20" t="s">
        <v>67</v>
      </c>
      <c r="D315" s="4" t="s">
        <v>32</v>
      </c>
      <c r="E315" s="6">
        <v>266</v>
      </c>
      <c r="F315" s="6">
        <v>450</v>
      </c>
      <c r="G315" s="6">
        <v>805</v>
      </c>
      <c r="H315" s="6">
        <v>919</v>
      </c>
      <c r="I315" s="6">
        <v>863</v>
      </c>
    </row>
    <row r="316" spans="2:9" x14ac:dyDescent="0.35">
      <c r="B316" s="21"/>
      <c r="C316" s="21"/>
      <c r="D316" s="4" t="s">
        <v>33</v>
      </c>
      <c r="E316" s="6">
        <v>30</v>
      </c>
      <c r="F316" s="6">
        <v>30</v>
      </c>
      <c r="G316" s="6">
        <v>35</v>
      </c>
      <c r="H316" s="6">
        <v>39</v>
      </c>
      <c r="I316" s="6">
        <v>39</v>
      </c>
    </row>
    <row r="317" spans="2:9" x14ac:dyDescent="0.35">
      <c r="B317" s="21"/>
      <c r="C317" s="21"/>
      <c r="D317" s="4" t="s">
        <v>34</v>
      </c>
      <c r="E317" s="6">
        <v>7947</v>
      </c>
      <c r="F317" s="6">
        <v>13664</v>
      </c>
      <c r="G317" s="6">
        <v>27895</v>
      </c>
      <c r="H317" s="6">
        <f>590*60</f>
        <v>35400</v>
      </c>
      <c r="I317" s="6">
        <f>562*60</f>
        <v>33720</v>
      </c>
    </row>
    <row r="318" spans="2:9" x14ac:dyDescent="0.35">
      <c r="B318" s="21"/>
      <c r="C318" s="20" t="s">
        <v>70</v>
      </c>
      <c r="D318" s="4" t="s">
        <v>32</v>
      </c>
      <c r="E318" s="6">
        <v>1200</v>
      </c>
      <c r="F318" s="6">
        <v>1882</v>
      </c>
      <c r="G318" s="6">
        <v>4134</v>
      </c>
      <c r="H318" s="6">
        <v>5207</v>
      </c>
      <c r="I318" s="6">
        <v>4952</v>
      </c>
    </row>
    <row r="319" spans="2:9" x14ac:dyDescent="0.35">
      <c r="B319" s="21"/>
      <c r="C319" s="21"/>
      <c r="D319" s="4" t="s">
        <v>33</v>
      </c>
      <c r="E319" s="6">
        <v>33</v>
      </c>
      <c r="F319" s="6">
        <v>36</v>
      </c>
      <c r="G319" s="6">
        <v>38</v>
      </c>
      <c r="H319" s="6">
        <v>41</v>
      </c>
      <c r="I319" s="6">
        <v>39</v>
      </c>
    </row>
    <row r="320" spans="2:9" x14ac:dyDescent="0.35">
      <c r="B320" s="21"/>
      <c r="C320" s="21"/>
      <c r="D320" s="4" t="s">
        <v>34</v>
      </c>
      <c r="E320" s="6">
        <v>39326</v>
      </c>
      <c r="F320" s="6">
        <v>68419</v>
      </c>
      <c r="G320" s="6">
        <v>161169</v>
      </c>
      <c r="H320" s="6">
        <f>3552*60</f>
        <v>213120</v>
      </c>
      <c r="I320" s="6">
        <f>3224*60</f>
        <v>193440</v>
      </c>
    </row>
    <row r="321" spans="1:10" x14ac:dyDescent="0.35">
      <c r="C321" s="4"/>
      <c r="D321" s="4"/>
      <c r="E321" s="5"/>
    </row>
    <row r="322" spans="1:10" x14ac:dyDescent="0.35">
      <c r="C322" s="4" t="s">
        <v>25</v>
      </c>
      <c r="D322" s="4" t="s">
        <v>32</v>
      </c>
      <c r="E322" s="5">
        <f>+E306+E309+E312+E315+E318</f>
        <v>4057</v>
      </c>
      <c r="F322" s="5">
        <f t="shared" ref="F322:G322" si="54">+F306+F309+F312+F315+F318</f>
        <v>4552</v>
      </c>
      <c r="G322" s="5">
        <f t="shared" si="54"/>
        <v>8893</v>
      </c>
      <c r="H322" s="5">
        <f t="shared" ref="H322:I322" si="55">+H306+H309+H312+H315+H318</f>
        <v>11541</v>
      </c>
      <c r="I322" s="5">
        <f t="shared" si="55"/>
        <v>12366</v>
      </c>
    </row>
    <row r="323" spans="1:10" x14ac:dyDescent="0.35">
      <c r="C323" s="4"/>
      <c r="D323" s="4" t="s">
        <v>33</v>
      </c>
      <c r="E323" s="5">
        <f>+E324/E322</f>
        <v>38.301700764111409</v>
      </c>
      <c r="F323" s="5">
        <f t="shared" ref="F323:H323" si="56">+F324/F322</f>
        <v>33.529876977152902</v>
      </c>
      <c r="G323" s="5">
        <f t="shared" si="56"/>
        <v>34.230968177218038</v>
      </c>
      <c r="H323" s="5">
        <f t="shared" ref="H323:I323" si="57">+H324/H322</f>
        <v>36.215232648817263</v>
      </c>
      <c r="I323" s="5">
        <f t="shared" si="57"/>
        <v>35.409995147986415</v>
      </c>
    </row>
    <row r="324" spans="1:10" x14ac:dyDescent="0.35">
      <c r="C324" s="4"/>
      <c r="D324" s="4" t="s">
        <v>34</v>
      </c>
      <c r="E324" s="5">
        <f>+E308+E311+E314+E317+E320</f>
        <v>155390</v>
      </c>
      <c r="F324" s="5">
        <f t="shared" ref="F324:G324" si="58">+F308+F311+F314+F317+F320</f>
        <v>152628</v>
      </c>
      <c r="G324" s="5">
        <f t="shared" si="58"/>
        <v>304416</v>
      </c>
      <c r="H324" s="5">
        <f t="shared" ref="H324:I324" si="59">+H308+H311+H314+H317+H320</f>
        <v>417960</v>
      </c>
      <c r="I324" s="5">
        <f t="shared" si="59"/>
        <v>437880</v>
      </c>
    </row>
    <row r="325" spans="1:10" x14ac:dyDescent="0.35">
      <c r="C325" s="4"/>
      <c r="D325" s="4"/>
      <c r="E325" s="5"/>
      <c r="F325" s="5"/>
      <c r="G325" s="5"/>
    </row>
    <row r="326" spans="1:10" ht="31" x14ac:dyDescent="0.35">
      <c r="A326" s="1" t="s">
        <v>0</v>
      </c>
      <c r="B326" s="1" t="s">
        <v>1</v>
      </c>
      <c r="C326" s="1" t="s">
        <v>2</v>
      </c>
      <c r="D326" s="1" t="s">
        <v>3</v>
      </c>
      <c r="E326" s="2" t="s">
        <v>4</v>
      </c>
      <c r="F326" s="2" t="s">
        <v>5</v>
      </c>
      <c r="G326" s="2" t="s">
        <v>6</v>
      </c>
      <c r="H326" s="2" t="s">
        <v>111</v>
      </c>
      <c r="I326" s="11" t="s">
        <v>114</v>
      </c>
      <c r="J326" s="1"/>
    </row>
    <row r="327" spans="1:10" x14ac:dyDescent="0.35">
      <c r="A327" s="20" t="s">
        <v>74</v>
      </c>
      <c r="B327" s="20" t="s">
        <v>75</v>
      </c>
      <c r="C327" s="4" t="s">
        <v>76</v>
      </c>
      <c r="D327" s="4" t="s">
        <v>110</v>
      </c>
      <c r="E327" s="5">
        <v>132</v>
      </c>
      <c r="F327" s="5">
        <v>2957</v>
      </c>
      <c r="G327" s="5">
        <v>2203</v>
      </c>
      <c r="H327" s="5">
        <v>2574</v>
      </c>
      <c r="I327" s="5">
        <v>1084</v>
      </c>
    </row>
    <row r="328" spans="1:10" x14ac:dyDescent="0.35">
      <c r="A328" s="21"/>
      <c r="B328" s="21"/>
      <c r="C328" s="4" t="s">
        <v>77</v>
      </c>
      <c r="D328" s="4" t="s">
        <v>75</v>
      </c>
      <c r="E328" s="5">
        <v>115290</v>
      </c>
      <c r="F328" s="6">
        <v>68542</v>
      </c>
      <c r="G328" s="6">
        <v>30873</v>
      </c>
      <c r="H328" s="6">
        <v>14027</v>
      </c>
      <c r="I328" s="6">
        <v>19621</v>
      </c>
    </row>
    <row r="329" spans="1:10" x14ac:dyDescent="0.35">
      <c r="A329" s="21"/>
      <c r="B329" s="4" t="s">
        <v>78</v>
      </c>
      <c r="C329" s="4" t="s">
        <v>79</v>
      </c>
      <c r="D329" s="4" t="s">
        <v>78</v>
      </c>
      <c r="E329" s="5">
        <v>71910</v>
      </c>
      <c r="F329" s="6">
        <v>50095</v>
      </c>
      <c r="G329" s="6">
        <v>23592</v>
      </c>
      <c r="H329" s="6">
        <v>9997</v>
      </c>
      <c r="I329" s="6">
        <v>17059</v>
      </c>
    </row>
    <row r="330" spans="1:10" x14ac:dyDescent="0.35">
      <c r="A330" s="21"/>
      <c r="B330" s="4"/>
      <c r="C330" s="4" t="s">
        <v>80</v>
      </c>
      <c r="D330" s="4" t="s">
        <v>81</v>
      </c>
      <c r="E330" s="5">
        <v>1656</v>
      </c>
      <c r="F330" s="6">
        <v>4736</v>
      </c>
      <c r="G330" s="6">
        <v>3380</v>
      </c>
      <c r="H330" s="6">
        <v>3638</v>
      </c>
      <c r="I330" s="6">
        <v>1934</v>
      </c>
    </row>
    <row r="331" spans="1:10" x14ac:dyDescent="0.35">
      <c r="A331" s="21"/>
      <c r="B331" s="4" t="s">
        <v>82</v>
      </c>
      <c r="C331" s="4" t="s">
        <v>83</v>
      </c>
      <c r="D331" s="4" t="s">
        <v>82</v>
      </c>
      <c r="E331" s="5">
        <v>9977</v>
      </c>
      <c r="F331" s="6">
        <v>4684</v>
      </c>
      <c r="G331" s="6">
        <v>1811</v>
      </c>
      <c r="H331" s="6">
        <v>916</v>
      </c>
      <c r="I331" s="6">
        <v>851</v>
      </c>
    </row>
    <row r="332" spans="1:10" x14ac:dyDescent="0.35">
      <c r="A332" s="21"/>
      <c r="B332" s="20" t="s">
        <v>84</v>
      </c>
      <c r="C332" s="4" t="s">
        <v>85</v>
      </c>
      <c r="D332" s="4" t="s">
        <v>86</v>
      </c>
      <c r="E332" s="5">
        <v>3830</v>
      </c>
      <c r="F332" s="5">
        <v>2300</v>
      </c>
      <c r="G332" s="5">
        <v>408</v>
      </c>
      <c r="H332" s="5">
        <v>468</v>
      </c>
      <c r="I332" s="5">
        <v>537</v>
      </c>
    </row>
    <row r="333" spans="1:10" x14ac:dyDescent="0.35">
      <c r="A333" s="21"/>
      <c r="B333" s="21"/>
      <c r="C333" s="4" t="s">
        <v>87</v>
      </c>
      <c r="D333" s="4" t="s">
        <v>84</v>
      </c>
      <c r="E333" s="5">
        <v>48492</v>
      </c>
      <c r="F333" s="6">
        <v>33770</v>
      </c>
      <c r="G333" s="6">
        <v>14497</v>
      </c>
      <c r="H333" s="6">
        <v>8548</v>
      </c>
      <c r="I333" s="6">
        <v>10284</v>
      </c>
    </row>
    <row r="334" spans="1:10" x14ac:dyDescent="0.35">
      <c r="A334" s="21"/>
      <c r="B334" s="4" t="s">
        <v>88</v>
      </c>
      <c r="C334" s="4" t="s">
        <v>89</v>
      </c>
      <c r="D334" s="4" t="s">
        <v>88</v>
      </c>
      <c r="E334" s="5">
        <v>37413</v>
      </c>
      <c r="F334" s="6">
        <v>23818</v>
      </c>
      <c r="G334" s="6">
        <v>7798</v>
      </c>
      <c r="H334" s="6">
        <v>3495</v>
      </c>
      <c r="I334" s="6">
        <v>3588</v>
      </c>
    </row>
    <row r="335" spans="1:10" x14ac:dyDescent="0.35">
      <c r="B335" s="4"/>
      <c r="C335" s="4" t="s">
        <v>129</v>
      </c>
      <c r="D335" s="4" t="s">
        <v>130</v>
      </c>
      <c r="E335" s="5"/>
      <c r="F335" s="6">
        <v>311</v>
      </c>
      <c r="G335" s="6">
        <v>264</v>
      </c>
      <c r="H335" s="6">
        <v>193</v>
      </c>
      <c r="I335" s="6">
        <v>24</v>
      </c>
    </row>
    <row r="337" spans="2:9" x14ac:dyDescent="0.35">
      <c r="D337" s="14" t="s">
        <v>25</v>
      </c>
      <c r="E337" s="15">
        <f>SUM(E327:E334)</f>
        <v>288700</v>
      </c>
      <c r="F337" s="15">
        <f>SUM(F327:F335)</f>
        <v>191213</v>
      </c>
      <c r="G337" s="15">
        <f t="shared" ref="G337:I337" si="60">SUM(G327:G335)</f>
        <v>84826</v>
      </c>
      <c r="H337" s="15">
        <f t="shared" si="60"/>
        <v>43856</v>
      </c>
      <c r="I337" s="15">
        <f t="shared" si="60"/>
        <v>54982</v>
      </c>
    </row>
    <row r="338" spans="2:9" x14ac:dyDescent="0.35">
      <c r="D338" s="7"/>
      <c r="E338" s="8"/>
      <c r="F338" s="13"/>
      <c r="G338" s="5"/>
      <c r="H338" s="5"/>
      <c r="I338" s="8"/>
    </row>
    <row r="340" spans="2:9" x14ac:dyDescent="0.35">
      <c r="B340" s="22" t="s">
        <v>26</v>
      </c>
      <c r="C340" s="22"/>
      <c r="D340" s="22"/>
      <c r="E340" s="2">
        <v>2020</v>
      </c>
      <c r="F340" s="2">
        <v>2021</v>
      </c>
      <c r="G340" s="2">
        <v>2022</v>
      </c>
      <c r="H340" s="2">
        <v>2023</v>
      </c>
      <c r="I340" s="2">
        <v>2024</v>
      </c>
    </row>
    <row r="341" spans="2:9" x14ac:dyDescent="0.35">
      <c r="B341" s="20" t="s">
        <v>75</v>
      </c>
      <c r="C341" s="20" t="s">
        <v>76</v>
      </c>
      <c r="D341" s="4" t="s">
        <v>26</v>
      </c>
      <c r="E341" s="6">
        <v>1122</v>
      </c>
      <c r="F341" s="6">
        <v>64</v>
      </c>
      <c r="G341" s="6">
        <v>30429</v>
      </c>
      <c r="H341" s="6">
        <v>49699</v>
      </c>
      <c r="I341" s="6">
        <v>59687</v>
      </c>
    </row>
    <row r="342" spans="2:9" x14ac:dyDescent="0.35">
      <c r="B342" s="21"/>
      <c r="C342" s="21"/>
      <c r="D342" s="4" t="s">
        <v>27</v>
      </c>
      <c r="E342" s="6">
        <v>486</v>
      </c>
      <c r="F342" s="6">
        <v>0</v>
      </c>
      <c r="G342" s="6">
        <v>3464</v>
      </c>
      <c r="H342" s="6">
        <v>13216</v>
      </c>
      <c r="I342" s="6">
        <v>25348</v>
      </c>
    </row>
    <row r="343" spans="2:9" x14ac:dyDescent="0.35">
      <c r="B343" s="21"/>
      <c r="C343" s="21"/>
      <c r="D343" s="16" t="s">
        <v>28</v>
      </c>
      <c r="E343" s="17">
        <f>+E342+E341</f>
        <v>1608</v>
      </c>
      <c r="F343" s="17">
        <f>+F342+F341</f>
        <v>64</v>
      </c>
      <c r="G343" s="17">
        <f t="shared" ref="G343:H343" si="61">+G342+G341</f>
        <v>33893</v>
      </c>
      <c r="H343" s="17">
        <f t="shared" si="61"/>
        <v>62915</v>
      </c>
      <c r="I343" s="17">
        <f t="shared" ref="I343" si="62">+I342+I341</f>
        <v>85035</v>
      </c>
    </row>
    <row r="344" spans="2:9" x14ac:dyDescent="0.35">
      <c r="B344" s="21"/>
      <c r="C344" s="20" t="s">
        <v>77</v>
      </c>
      <c r="D344" s="4" t="s">
        <v>26</v>
      </c>
      <c r="E344" s="6">
        <v>187332</v>
      </c>
      <c r="F344" s="6">
        <v>395742</v>
      </c>
      <c r="G344" s="6">
        <v>517104</v>
      </c>
      <c r="H344" s="6">
        <v>520196</v>
      </c>
      <c r="I344" s="6">
        <v>529313</v>
      </c>
    </row>
    <row r="345" spans="2:9" x14ac:dyDescent="0.35">
      <c r="B345" s="21"/>
      <c r="C345" s="21"/>
      <c r="D345" s="4" t="s">
        <v>27</v>
      </c>
      <c r="E345" s="6">
        <v>280722</v>
      </c>
      <c r="F345" s="6">
        <v>320950</v>
      </c>
      <c r="G345" s="6">
        <v>358769</v>
      </c>
      <c r="H345" s="6">
        <v>419525</v>
      </c>
      <c r="I345" s="6">
        <v>472718</v>
      </c>
    </row>
    <row r="346" spans="2:9" x14ac:dyDescent="0.35">
      <c r="B346" s="21"/>
      <c r="C346" s="21"/>
      <c r="D346" s="16" t="s">
        <v>28</v>
      </c>
      <c r="E346" s="17">
        <f>+E345+E344</f>
        <v>468054</v>
      </c>
      <c r="F346" s="17">
        <f>+F345+F344</f>
        <v>716692</v>
      </c>
      <c r="G346" s="17">
        <f t="shared" ref="G346:H346" si="63">+G345+G344</f>
        <v>875873</v>
      </c>
      <c r="H346" s="17">
        <f t="shared" si="63"/>
        <v>939721</v>
      </c>
      <c r="I346" s="17">
        <f t="shared" ref="I346" si="64">+I345+I344</f>
        <v>1002031</v>
      </c>
    </row>
    <row r="347" spans="2:9" x14ac:dyDescent="0.35">
      <c r="B347" s="20" t="s">
        <v>78</v>
      </c>
      <c r="C347" s="20" t="s">
        <v>79</v>
      </c>
      <c r="D347" s="4" t="s">
        <v>26</v>
      </c>
      <c r="E347" s="6">
        <v>235097</v>
      </c>
      <c r="F347" s="6">
        <v>415244</v>
      </c>
      <c r="G347" s="6">
        <v>463828</v>
      </c>
      <c r="H347" s="6">
        <v>443773</v>
      </c>
      <c r="I347" s="6">
        <v>421813</v>
      </c>
    </row>
    <row r="348" spans="2:9" x14ac:dyDescent="0.35">
      <c r="B348" s="20"/>
      <c r="C348" s="21"/>
      <c r="D348" s="4" t="s">
        <v>27</v>
      </c>
      <c r="E348" s="6">
        <v>262659</v>
      </c>
      <c r="F348" s="6">
        <v>304182</v>
      </c>
      <c r="G348" s="6">
        <v>338458</v>
      </c>
      <c r="H348" s="6">
        <v>400678</v>
      </c>
      <c r="I348" s="6">
        <v>422359</v>
      </c>
    </row>
    <row r="349" spans="2:9" x14ac:dyDescent="0.35">
      <c r="B349" s="20"/>
      <c r="C349" s="21"/>
      <c r="D349" s="16" t="s">
        <v>28</v>
      </c>
      <c r="E349" s="17">
        <f>+E348+E347</f>
        <v>497756</v>
      </c>
      <c r="F349" s="17">
        <f>+F348+F347</f>
        <v>719426</v>
      </c>
      <c r="G349" s="17">
        <f t="shared" ref="G349:H349" si="65">+G348+G347</f>
        <v>802286</v>
      </c>
      <c r="H349" s="17">
        <f t="shared" si="65"/>
        <v>844451</v>
      </c>
      <c r="I349" s="17">
        <f t="shared" ref="I349" si="66">+I348+I347</f>
        <v>844172</v>
      </c>
    </row>
    <row r="350" spans="2:9" x14ac:dyDescent="0.35">
      <c r="B350" s="20"/>
      <c r="C350" s="19" t="s">
        <v>80</v>
      </c>
      <c r="D350" s="4" t="s">
        <v>26</v>
      </c>
      <c r="E350" s="6"/>
      <c r="F350" s="6">
        <v>30857</v>
      </c>
      <c r="G350" s="6">
        <v>70808</v>
      </c>
      <c r="H350" s="6">
        <v>65134</v>
      </c>
      <c r="I350" s="6">
        <v>83992</v>
      </c>
    </row>
    <row r="351" spans="2:9" x14ac:dyDescent="0.35">
      <c r="B351" s="20"/>
      <c r="C351" s="19"/>
      <c r="D351" s="4" t="s">
        <v>27</v>
      </c>
      <c r="E351" s="6"/>
      <c r="F351" s="6">
        <v>1921</v>
      </c>
      <c r="G351" s="6">
        <v>12679</v>
      </c>
      <c r="H351" s="6">
        <v>26781</v>
      </c>
      <c r="I351" s="6">
        <v>38764</v>
      </c>
    </row>
    <row r="352" spans="2:9" x14ac:dyDescent="0.35">
      <c r="B352" s="20"/>
      <c r="C352" s="19"/>
      <c r="D352" s="16" t="s">
        <v>28</v>
      </c>
      <c r="E352" s="17">
        <f>+E351+E350</f>
        <v>0</v>
      </c>
      <c r="F352" s="17">
        <f>+F351+F350</f>
        <v>32778</v>
      </c>
      <c r="G352" s="17">
        <f t="shared" ref="G352:H352" si="67">+G351+G350</f>
        <v>83487</v>
      </c>
      <c r="H352" s="17">
        <f t="shared" si="67"/>
        <v>91915</v>
      </c>
      <c r="I352" s="17">
        <f t="shared" ref="I352" si="68">+I351+I350</f>
        <v>122756</v>
      </c>
    </row>
    <row r="353" spans="2:9" x14ac:dyDescent="0.35">
      <c r="B353" s="20" t="s">
        <v>82</v>
      </c>
      <c r="C353" s="20" t="s">
        <v>83</v>
      </c>
      <c r="D353" s="4" t="s">
        <v>26</v>
      </c>
      <c r="E353" s="6">
        <v>10698</v>
      </c>
      <c r="F353" s="6">
        <v>15317</v>
      </c>
      <c r="G353" s="6">
        <v>25532</v>
      </c>
      <c r="H353" s="6">
        <v>27809</v>
      </c>
      <c r="I353" s="6">
        <v>31205</v>
      </c>
    </row>
    <row r="354" spans="2:9" x14ac:dyDescent="0.35">
      <c r="B354" s="21"/>
      <c r="C354" s="21"/>
      <c r="D354" s="4" t="s">
        <v>27</v>
      </c>
      <c r="E354" s="6">
        <v>13427</v>
      </c>
      <c r="F354" s="6">
        <v>13388</v>
      </c>
      <c r="G354" s="6">
        <v>14831</v>
      </c>
      <c r="H354" s="6">
        <v>16737</v>
      </c>
      <c r="I354" s="6">
        <v>18235</v>
      </c>
    </row>
    <row r="355" spans="2:9" x14ac:dyDescent="0.35">
      <c r="B355" s="21"/>
      <c r="C355" s="21"/>
      <c r="D355" s="16" t="s">
        <v>28</v>
      </c>
      <c r="E355" s="17">
        <f>+E354+E353</f>
        <v>24125</v>
      </c>
      <c r="F355" s="17">
        <f>+F354+F353</f>
        <v>28705</v>
      </c>
      <c r="G355" s="17">
        <f t="shared" ref="G355:H355" si="69">+G354+G353</f>
        <v>40363</v>
      </c>
      <c r="H355" s="17">
        <f t="shared" si="69"/>
        <v>44546</v>
      </c>
      <c r="I355" s="17">
        <f t="shared" ref="I355" si="70">+I354+I353</f>
        <v>49440</v>
      </c>
    </row>
    <row r="356" spans="2:9" x14ac:dyDescent="0.35">
      <c r="B356" s="20" t="s">
        <v>84</v>
      </c>
      <c r="C356" s="20" t="s">
        <v>85</v>
      </c>
      <c r="D356" s="4" t="s">
        <v>26</v>
      </c>
      <c r="E356" s="6">
        <v>221265</v>
      </c>
      <c r="F356" s="6">
        <v>11932</v>
      </c>
      <c r="G356" s="6">
        <v>11556</v>
      </c>
      <c r="H356" s="6">
        <v>9833</v>
      </c>
      <c r="I356" s="6">
        <v>12520</v>
      </c>
    </row>
    <row r="357" spans="2:9" x14ac:dyDescent="0.35">
      <c r="B357" s="21"/>
      <c r="C357" s="21"/>
      <c r="D357" s="4" t="s">
        <v>27</v>
      </c>
      <c r="E357" s="6">
        <v>2881</v>
      </c>
      <c r="F357" s="6">
        <v>4354</v>
      </c>
      <c r="G357" s="6">
        <v>5273</v>
      </c>
      <c r="H357" s="6">
        <v>6056</v>
      </c>
      <c r="I357" s="6">
        <v>5630</v>
      </c>
    </row>
    <row r="358" spans="2:9" x14ac:dyDescent="0.35">
      <c r="B358" s="21"/>
      <c r="C358" s="21"/>
      <c r="D358" s="16" t="s">
        <v>28</v>
      </c>
      <c r="E358" s="17">
        <f>SUM(E356:E357)</f>
        <v>224146</v>
      </c>
      <c r="F358" s="17">
        <f>SUM(F356:F357)</f>
        <v>16286</v>
      </c>
      <c r="G358" s="17">
        <f>SUM(G356:G357)</f>
        <v>16829</v>
      </c>
      <c r="H358" s="17">
        <f>SUM(H356:H357)</f>
        <v>15889</v>
      </c>
      <c r="I358" s="17">
        <f>SUM(I356:I357)</f>
        <v>18150</v>
      </c>
    </row>
    <row r="359" spans="2:9" x14ac:dyDescent="0.35">
      <c r="B359" s="21"/>
      <c r="C359" s="20" t="s">
        <v>87</v>
      </c>
      <c r="D359" s="4" t="s">
        <v>26</v>
      </c>
      <c r="E359" s="6">
        <v>141676</v>
      </c>
      <c r="F359" s="6">
        <v>258168</v>
      </c>
      <c r="G359" s="6">
        <v>344334</v>
      </c>
      <c r="H359" s="6">
        <v>344513</v>
      </c>
      <c r="I359" s="6">
        <v>331833</v>
      </c>
    </row>
    <row r="360" spans="2:9" x14ac:dyDescent="0.35">
      <c r="B360" s="21"/>
      <c r="C360" s="21"/>
      <c r="D360" s="4" t="s">
        <v>27</v>
      </c>
      <c r="E360" s="6">
        <v>161983</v>
      </c>
      <c r="F360" s="6">
        <v>180313</v>
      </c>
      <c r="G360" s="6">
        <v>200866</v>
      </c>
      <c r="H360" s="6">
        <v>242454</v>
      </c>
      <c r="I360" s="6">
        <v>274939</v>
      </c>
    </row>
    <row r="361" spans="2:9" x14ac:dyDescent="0.35">
      <c r="B361" s="21"/>
      <c r="C361" s="21"/>
      <c r="D361" s="16" t="s">
        <v>28</v>
      </c>
      <c r="E361" s="17">
        <f>+E360+E359</f>
        <v>303659</v>
      </c>
      <c r="F361" s="17">
        <f>+F360+F359</f>
        <v>438481</v>
      </c>
      <c r="G361" s="17">
        <f t="shared" ref="G361:H361" si="71">+G360+G359</f>
        <v>545200</v>
      </c>
      <c r="H361" s="17">
        <f t="shared" si="71"/>
        <v>586967</v>
      </c>
      <c r="I361" s="17">
        <f t="shared" ref="I361" si="72">+I360+I359</f>
        <v>606772</v>
      </c>
    </row>
    <row r="362" spans="2:9" hidden="1" x14ac:dyDescent="0.35">
      <c r="B362" s="20" t="s">
        <v>20</v>
      </c>
      <c r="C362" s="20" t="s">
        <v>90</v>
      </c>
      <c r="D362" s="4" t="s">
        <v>26</v>
      </c>
      <c r="E362" s="6"/>
      <c r="F362" s="6"/>
      <c r="G362" s="6"/>
      <c r="H362" s="6"/>
      <c r="I362" s="6"/>
    </row>
    <row r="363" spans="2:9" hidden="1" x14ac:dyDescent="0.35">
      <c r="B363" s="21"/>
      <c r="C363" s="21"/>
      <c r="D363" s="4" t="s">
        <v>27</v>
      </c>
      <c r="E363" s="6"/>
      <c r="F363" s="6"/>
      <c r="G363" s="6"/>
      <c r="H363" s="6"/>
      <c r="I363" s="6"/>
    </row>
    <row r="364" spans="2:9" hidden="1" x14ac:dyDescent="0.35">
      <c r="B364" s="21"/>
      <c r="C364" s="21"/>
      <c r="D364" s="16" t="s">
        <v>28</v>
      </c>
      <c r="E364" s="17">
        <f>+E363+E362</f>
        <v>0</v>
      </c>
      <c r="F364" s="17">
        <f>+F363+F362</f>
        <v>0</v>
      </c>
      <c r="G364" s="17">
        <f t="shared" ref="G364:H364" si="73">+G363+G362</f>
        <v>0</v>
      </c>
      <c r="H364" s="17">
        <f t="shared" si="73"/>
        <v>0</v>
      </c>
      <c r="I364" s="17">
        <f t="shared" ref="I364" si="74">+I363+I362</f>
        <v>0</v>
      </c>
    </row>
    <row r="365" spans="2:9" x14ac:dyDescent="0.35">
      <c r="B365" s="20" t="s">
        <v>88</v>
      </c>
      <c r="C365" s="20" t="s">
        <v>89</v>
      </c>
      <c r="D365" s="4" t="s">
        <v>26</v>
      </c>
      <c r="E365" s="6">
        <v>50821</v>
      </c>
      <c r="F365" s="6">
        <v>82082</v>
      </c>
      <c r="G365" s="6">
        <v>129297</v>
      </c>
      <c r="H365" s="6">
        <v>144574</v>
      </c>
      <c r="I365" s="6">
        <v>149701</v>
      </c>
    </row>
    <row r="366" spans="2:9" x14ac:dyDescent="0.35">
      <c r="B366" s="21"/>
      <c r="C366" s="21"/>
      <c r="D366" s="4" t="s">
        <v>27</v>
      </c>
      <c r="E366" s="6">
        <v>44790</v>
      </c>
      <c r="F366" s="6">
        <v>48499</v>
      </c>
      <c r="G366" s="6">
        <v>54795</v>
      </c>
      <c r="H366" s="6">
        <v>68415</v>
      </c>
      <c r="I366" s="6">
        <v>85711</v>
      </c>
    </row>
    <row r="367" spans="2:9" x14ac:dyDescent="0.35">
      <c r="B367" s="21"/>
      <c r="C367" s="21"/>
      <c r="D367" s="16" t="s">
        <v>28</v>
      </c>
      <c r="E367" s="17">
        <f>+E366+E365</f>
        <v>95611</v>
      </c>
      <c r="F367" s="17">
        <f>+F366+F365</f>
        <v>130581</v>
      </c>
      <c r="G367" s="17">
        <f t="shared" ref="G367:H367" si="75">+G366+G365</f>
        <v>184092</v>
      </c>
      <c r="H367" s="17">
        <f t="shared" si="75"/>
        <v>212989</v>
      </c>
      <c r="I367" s="17">
        <f t="shared" ref="I367" si="76">+I366+I365</f>
        <v>235412</v>
      </c>
    </row>
    <row r="368" spans="2:9" x14ac:dyDescent="0.35">
      <c r="C368" s="3" t="s">
        <v>129</v>
      </c>
      <c r="D368" s="4" t="s">
        <v>26</v>
      </c>
      <c r="E368" s="17">
        <v>0</v>
      </c>
      <c r="F368" s="17">
        <v>0</v>
      </c>
      <c r="G368" s="17">
        <v>0</v>
      </c>
      <c r="H368" s="17">
        <v>1421</v>
      </c>
      <c r="I368" s="17">
        <v>4775</v>
      </c>
    </row>
    <row r="369" spans="2:9" x14ac:dyDescent="0.35">
      <c r="D369" s="4" t="s">
        <v>27</v>
      </c>
      <c r="E369" s="17">
        <v>0</v>
      </c>
      <c r="F369" s="17">
        <v>0</v>
      </c>
      <c r="G369" s="17">
        <v>0</v>
      </c>
      <c r="H369" s="17">
        <v>7</v>
      </c>
      <c r="I369" s="17">
        <v>258</v>
      </c>
    </row>
    <row r="370" spans="2:9" x14ac:dyDescent="0.35">
      <c r="D370" s="16" t="s">
        <v>28</v>
      </c>
      <c r="E370" s="17">
        <f>+E369+E368</f>
        <v>0</v>
      </c>
      <c r="F370" s="17">
        <f>+F369+F368</f>
        <v>0</v>
      </c>
      <c r="G370" s="17">
        <f t="shared" ref="G370:I370" si="77">+G369+G368</f>
        <v>0</v>
      </c>
      <c r="H370" s="17">
        <f t="shared" si="77"/>
        <v>1428</v>
      </c>
      <c r="I370" s="17">
        <f t="shared" si="77"/>
        <v>5033</v>
      </c>
    </row>
    <row r="372" spans="2:9" x14ac:dyDescent="0.35">
      <c r="C372" s="3" t="s">
        <v>25</v>
      </c>
      <c r="D372" s="16" t="s">
        <v>26</v>
      </c>
      <c r="E372" s="17">
        <f>+E341+E344+E347+E353+E356+E359+E362+E365+E350+E368</f>
        <v>848011</v>
      </c>
      <c r="F372" s="17">
        <f t="shared" ref="F372:I372" si="78">+F341+F344+F347+F353+F356+F359+F362+F365+F350+F368</f>
        <v>1209406</v>
      </c>
      <c r="G372" s="17">
        <f t="shared" si="78"/>
        <v>1592888</v>
      </c>
      <c r="H372" s="17">
        <f t="shared" si="78"/>
        <v>1606952</v>
      </c>
      <c r="I372" s="17">
        <f t="shared" si="78"/>
        <v>1624839</v>
      </c>
    </row>
    <row r="373" spans="2:9" x14ac:dyDescent="0.35">
      <c r="D373" s="16" t="s">
        <v>27</v>
      </c>
      <c r="E373" s="17">
        <f>+E342+E345+E348+E354+E357+E360+E363+E366+E351+E369</f>
        <v>766948</v>
      </c>
      <c r="F373" s="17">
        <f t="shared" ref="F373:I373" si="79">+F342+F345+F348+F354+F357+F360+F363+F366+F351+F369</f>
        <v>873607</v>
      </c>
      <c r="G373" s="17">
        <f t="shared" si="79"/>
        <v>989135</v>
      </c>
      <c r="H373" s="17">
        <f t="shared" si="79"/>
        <v>1193869</v>
      </c>
      <c r="I373" s="17">
        <f t="shared" si="79"/>
        <v>1343962</v>
      </c>
    </row>
    <row r="374" spans="2:9" x14ac:dyDescent="0.35">
      <c r="D374" s="16" t="s">
        <v>28</v>
      </c>
      <c r="E374" s="17">
        <f>+E343+E346+E349+E355+E358+E361+E364+E367+E352+E370</f>
        <v>1614959</v>
      </c>
      <c r="F374" s="17">
        <f t="shared" ref="F374:I374" si="80">+F343+F346+F349+F355+F358+F361+F364+F367+F352+F370</f>
        <v>2083013</v>
      </c>
      <c r="G374" s="17">
        <f t="shared" si="80"/>
        <v>2582023</v>
      </c>
      <c r="H374" s="17">
        <f t="shared" si="80"/>
        <v>2800821</v>
      </c>
      <c r="I374" s="17">
        <f t="shared" si="80"/>
        <v>2968801</v>
      </c>
    </row>
    <row r="376" spans="2:9" x14ac:dyDescent="0.35">
      <c r="B376" s="22" t="s">
        <v>29</v>
      </c>
      <c r="C376" s="22"/>
      <c r="D376" s="22"/>
      <c r="E376" s="2">
        <v>2020</v>
      </c>
      <c r="F376" s="2">
        <v>2021</v>
      </c>
      <c r="G376" s="2">
        <v>2022</v>
      </c>
      <c r="H376" s="2">
        <v>2023</v>
      </c>
      <c r="I376" s="2">
        <v>2024</v>
      </c>
    </row>
    <row r="377" spans="2:9" x14ac:dyDescent="0.35">
      <c r="B377" s="20" t="s">
        <v>75</v>
      </c>
      <c r="C377" s="20" t="s">
        <v>77</v>
      </c>
      <c r="D377" s="4" t="s">
        <v>30</v>
      </c>
      <c r="E377" s="6">
        <v>3032</v>
      </c>
      <c r="F377" s="6">
        <v>1231</v>
      </c>
      <c r="G377" s="6">
        <v>7607</v>
      </c>
      <c r="H377" s="6">
        <f>18889+3857</f>
        <v>22746</v>
      </c>
      <c r="I377" s="6">
        <v>18092</v>
      </c>
    </row>
    <row r="378" spans="2:9" x14ac:dyDescent="0.35">
      <c r="B378" s="21"/>
      <c r="C378" s="21"/>
      <c r="D378" s="4" t="s">
        <v>29</v>
      </c>
      <c r="E378" s="6">
        <v>310</v>
      </c>
      <c r="F378" s="6">
        <v>30</v>
      </c>
      <c r="G378" s="6">
        <v>139</v>
      </c>
      <c r="H378" s="6">
        <f>316+130</f>
        <v>446</v>
      </c>
      <c r="I378" s="6">
        <v>482</v>
      </c>
    </row>
    <row r="379" spans="2:9" x14ac:dyDescent="0.35">
      <c r="B379" s="20" t="s">
        <v>110</v>
      </c>
      <c r="C379" s="20" t="s">
        <v>76</v>
      </c>
      <c r="D379" s="4" t="s">
        <v>30</v>
      </c>
      <c r="E379" s="6"/>
      <c r="F379" s="6"/>
      <c r="G379" s="6">
        <v>0</v>
      </c>
      <c r="H379" s="6">
        <f>116+0</f>
        <v>116</v>
      </c>
      <c r="I379" s="6">
        <v>350</v>
      </c>
    </row>
    <row r="380" spans="2:9" x14ac:dyDescent="0.35">
      <c r="B380" s="21"/>
      <c r="C380" s="21"/>
      <c r="D380" s="4" t="s">
        <v>29</v>
      </c>
      <c r="E380" s="6"/>
      <c r="F380" s="6"/>
      <c r="G380" s="6">
        <v>2</v>
      </c>
      <c r="H380" s="6">
        <v>1</v>
      </c>
      <c r="I380" s="6">
        <v>42</v>
      </c>
    </row>
    <row r="381" spans="2:9" x14ac:dyDescent="0.35">
      <c r="B381" s="20" t="s">
        <v>78</v>
      </c>
      <c r="C381" s="20" t="s">
        <v>79</v>
      </c>
      <c r="D381" s="4" t="s">
        <v>30</v>
      </c>
      <c r="E381" s="6">
        <v>3458</v>
      </c>
      <c r="F381" s="6">
        <v>523</v>
      </c>
      <c r="G381" s="6">
        <v>2591</v>
      </c>
      <c r="H381" s="6">
        <f>6568+2942</f>
        <v>9510</v>
      </c>
      <c r="I381" s="6">
        <v>11278</v>
      </c>
    </row>
    <row r="382" spans="2:9" x14ac:dyDescent="0.35">
      <c r="B382" s="21"/>
      <c r="C382" s="21"/>
      <c r="D382" s="4" t="s">
        <v>29</v>
      </c>
      <c r="E382" s="6">
        <v>369</v>
      </c>
      <c r="F382" s="6">
        <v>33</v>
      </c>
      <c r="G382" s="6">
        <v>141</v>
      </c>
      <c r="H382" s="6">
        <f>284+129</f>
        <v>413</v>
      </c>
      <c r="I382" s="6">
        <v>478</v>
      </c>
    </row>
    <row r="383" spans="2:9" x14ac:dyDescent="0.35">
      <c r="B383" s="19" t="s">
        <v>81</v>
      </c>
      <c r="C383" s="19" t="s">
        <v>80</v>
      </c>
      <c r="D383" s="4" t="s">
        <v>30</v>
      </c>
      <c r="E383" s="6"/>
      <c r="F383" s="6"/>
      <c r="G383" s="6">
        <v>419</v>
      </c>
      <c r="H383" s="6">
        <f>95+178</f>
        <v>273</v>
      </c>
      <c r="I383" s="6">
        <v>1679</v>
      </c>
    </row>
    <row r="384" spans="2:9" x14ac:dyDescent="0.35">
      <c r="B384" s="19"/>
      <c r="C384" s="19"/>
      <c r="D384" s="4" t="s">
        <v>29</v>
      </c>
      <c r="E384" s="6"/>
      <c r="F384" s="6"/>
      <c r="G384" s="6">
        <v>34</v>
      </c>
      <c r="H384" s="6">
        <f>42+33</f>
        <v>75</v>
      </c>
      <c r="I384" s="6">
        <v>101</v>
      </c>
    </row>
    <row r="385" spans="2:9" x14ac:dyDescent="0.35">
      <c r="B385" s="20" t="s">
        <v>82</v>
      </c>
      <c r="C385" s="20" t="s">
        <v>83</v>
      </c>
      <c r="D385" s="4" t="s">
        <v>30</v>
      </c>
      <c r="E385" s="6">
        <v>282</v>
      </c>
      <c r="F385" s="6">
        <v>0</v>
      </c>
      <c r="G385" s="6">
        <v>907</v>
      </c>
      <c r="H385" s="6">
        <f>1355+388</f>
        <v>1743</v>
      </c>
      <c r="I385" s="6">
        <v>1776</v>
      </c>
    </row>
    <row r="386" spans="2:9" x14ac:dyDescent="0.35">
      <c r="B386" s="21"/>
      <c r="C386" s="21"/>
      <c r="D386" s="4" t="s">
        <v>29</v>
      </c>
      <c r="E386" s="6">
        <v>91</v>
      </c>
      <c r="F386" s="6">
        <v>0</v>
      </c>
      <c r="G386" s="6">
        <v>57</v>
      </c>
      <c r="H386" s="6">
        <f>100+41</f>
        <v>141</v>
      </c>
      <c r="I386" s="6">
        <v>102</v>
      </c>
    </row>
    <row r="387" spans="2:9" x14ac:dyDescent="0.35">
      <c r="B387" s="20" t="s">
        <v>84</v>
      </c>
      <c r="C387" s="20" t="s">
        <v>87</v>
      </c>
      <c r="D387" s="4" t="s">
        <v>30</v>
      </c>
      <c r="E387" s="6">
        <v>1604</v>
      </c>
      <c r="F387" s="6">
        <v>1836</v>
      </c>
      <c r="G387" s="6">
        <v>3688</v>
      </c>
      <c r="H387" s="6">
        <f>4625+1708</f>
        <v>6333</v>
      </c>
      <c r="I387" s="6">
        <v>6681</v>
      </c>
    </row>
    <row r="388" spans="2:9" x14ac:dyDescent="0.35">
      <c r="B388" s="21"/>
      <c r="C388" s="21"/>
      <c r="D388" s="4" t="s">
        <v>29</v>
      </c>
      <c r="E388" s="6">
        <v>357</v>
      </c>
      <c r="F388" s="6">
        <v>237</v>
      </c>
      <c r="G388" s="6">
        <v>214</v>
      </c>
      <c r="H388" s="6">
        <f>182+99</f>
        <v>281</v>
      </c>
      <c r="I388" s="6">
        <v>325</v>
      </c>
    </row>
    <row r="389" spans="2:9" x14ac:dyDescent="0.35">
      <c r="B389" s="20" t="s">
        <v>88</v>
      </c>
      <c r="C389" s="20" t="s">
        <v>89</v>
      </c>
      <c r="D389" s="4" t="s">
        <v>30</v>
      </c>
      <c r="E389" s="6">
        <v>498</v>
      </c>
      <c r="F389" s="6">
        <v>140</v>
      </c>
      <c r="G389" s="6">
        <v>1102</v>
      </c>
      <c r="H389" s="6">
        <f>3010+1311</f>
        <v>4321</v>
      </c>
      <c r="I389" s="6">
        <v>12148</v>
      </c>
    </row>
    <row r="390" spans="2:9" x14ac:dyDescent="0.35">
      <c r="B390" s="21"/>
      <c r="C390" s="21"/>
      <c r="D390" s="4" t="s">
        <v>29</v>
      </c>
      <c r="E390" s="6">
        <v>277</v>
      </c>
      <c r="F390" s="6">
        <v>3</v>
      </c>
      <c r="G390" s="6">
        <v>75</v>
      </c>
      <c r="H390" s="6">
        <f>193+95</f>
        <v>288</v>
      </c>
      <c r="I390" s="6">
        <v>397</v>
      </c>
    </row>
    <row r="392" spans="2:9" x14ac:dyDescent="0.35">
      <c r="C392" s="3" t="s">
        <v>25</v>
      </c>
      <c r="D392" s="4" t="s">
        <v>30</v>
      </c>
      <c r="E392" s="8">
        <f t="shared" ref="E392:G393" si="81">+E377+E381+E385+E387+E389+E383</f>
        <v>8874</v>
      </c>
      <c r="F392" s="8">
        <f t="shared" si="81"/>
        <v>3730</v>
      </c>
      <c r="G392" s="8">
        <f t="shared" si="81"/>
        <v>16314</v>
      </c>
      <c r="H392" s="8">
        <f>+H377+H381+H385+H387+H389+H383+H379</f>
        <v>45042</v>
      </c>
      <c r="I392" s="8">
        <f>+I377+I381+I385+I387+I389+I383+I379</f>
        <v>52004</v>
      </c>
    </row>
    <row r="393" spans="2:9" x14ac:dyDescent="0.35">
      <c r="D393" s="4" t="s">
        <v>29</v>
      </c>
      <c r="E393" s="8">
        <f t="shared" si="81"/>
        <v>1404</v>
      </c>
      <c r="F393" s="8">
        <f t="shared" si="81"/>
        <v>303</v>
      </c>
      <c r="G393" s="8">
        <f t="shared" si="81"/>
        <v>660</v>
      </c>
      <c r="H393" s="8">
        <f>+H378+H382+H386+H388+H390+H384+H380</f>
        <v>1645</v>
      </c>
      <c r="I393" s="8">
        <f>+I378+I382+I386+I388+I390+I384+I380</f>
        <v>1927</v>
      </c>
    </row>
    <row r="395" spans="2:9" x14ac:dyDescent="0.35">
      <c r="B395" s="22" t="s">
        <v>31</v>
      </c>
      <c r="C395" s="22"/>
      <c r="D395" s="22"/>
      <c r="E395" s="2">
        <v>2020</v>
      </c>
      <c r="F395" s="2">
        <v>2021</v>
      </c>
      <c r="G395" s="2">
        <v>2022</v>
      </c>
      <c r="H395" s="2">
        <v>2023</v>
      </c>
      <c r="I395" s="2">
        <v>2024</v>
      </c>
    </row>
    <row r="396" spans="2:9" x14ac:dyDescent="0.35">
      <c r="B396" s="20" t="s">
        <v>75</v>
      </c>
      <c r="C396" s="20" t="s">
        <v>77</v>
      </c>
      <c r="D396" s="4" t="s">
        <v>32</v>
      </c>
      <c r="E396" s="6">
        <v>14576</v>
      </c>
      <c r="F396" s="6">
        <v>14192</v>
      </c>
      <c r="G396" s="6">
        <v>32712</v>
      </c>
      <c r="H396" s="6">
        <v>33601</v>
      </c>
      <c r="I396" s="6">
        <v>35135</v>
      </c>
    </row>
    <row r="397" spans="2:9" x14ac:dyDescent="0.35">
      <c r="B397" s="21"/>
      <c r="C397" s="21"/>
      <c r="D397" s="4" t="s">
        <v>33</v>
      </c>
      <c r="E397" s="6">
        <v>32</v>
      </c>
      <c r="F397" s="6">
        <v>35</v>
      </c>
      <c r="G397" s="6">
        <v>37</v>
      </c>
      <c r="H397" s="6">
        <v>34</v>
      </c>
      <c r="I397" s="6">
        <v>34</v>
      </c>
    </row>
    <row r="398" spans="2:9" x14ac:dyDescent="0.35">
      <c r="B398" s="21"/>
      <c r="C398" s="21"/>
      <c r="D398" s="4" t="s">
        <v>34</v>
      </c>
      <c r="E398" s="6">
        <v>459177</v>
      </c>
      <c r="F398" s="6">
        <v>491510</v>
      </c>
      <c r="G398" s="6">
        <v>1211710</v>
      </c>
      <c r="H398" s="6">
        <f>19185*60</f>
        <v>1151100</v>
      </c>
      <c r="I398" s="6">
        <f>20018*60</f>
        <v>1201080</v>
      </c>
    </row>
    <row r="399" spans="2:9" x14ac:dyDescent="0.35">
      <c r="B399" s="20" t="s">
        <v>110</v>
      </c>
      <c r="C399" s="20" t="s">
        <v>76</v>
      </c>
      <c r="D399" s="4" t="s">
        <v>32</v>
      </c>
      <c r="E399" s="6"/>
      <c r="F399" s="6"/>
      <c r="G399" s="6">
        <v>2359</v>
      </c>
      <c r="H399" s="6">
        <v>5519</v>
      </c>
      <c r="I399" s="6">
        <v>8033</v>
      </c>
    </row>
    <row r="400" spans="2:9" x14ac:dyDescent="0.35">
      <c r="B400" s="21"/>
      <c r="C400" s="21"/>
      <c r="D400" s="4" t="s">
        <v>33</v>
      </c>
      <c r="E400" s="6"/>
      <c r="F400" s="6"/>
      <c r="G400" s="6">
        <v>50</v>
      </c>
      <c r="H400" s="6">
        <v>45</v>
      </c>
      <c r="I400" s="6">
        <v>45</v>
      </c>
    </row>
    <row r="401" spans="2:9" x14ac:dyDescent="0.35">
      <c r="B401" s="21"/>
      <c r="C401" s="21"/>
      <c r="D401" s="4" t="s">
        <v>34</v>
      </c>
      <c r="E401" s="6"/>
      <c r="F401" s="6"/>
      <c r="G401" s="6">
        <v>121463</v>
      </c>
      <c r="H401" s="6">
        <f>4147*60</f>
        <v>248820</v>
      </c>
      <c r="I401" s="6">
        <f>5979*60</f>
        <v>358740</v>
      </c>
    </row>
    <row r="402" spans="2:9" x14ac:dyDescent="0.35">
      <c r="B402" s="20" t="s">
        <v>78</v>
      </c>
      <c r="C402" s="20" t="s">
        <v>79</v>
      </c>
      <c r="D402" s="4" t="s">
        <v>32</v>
      </c>
      <c r="E402" s="6">
        <v>6117</v>
      </c>
      <c r="F402" s="6">
        <v>11637</v>
      </c>
      <c r="G402" s="6">
        <v>23944</v>
      </c>
      <c r="H402" s="6">
        <v>30278</v>
      </c>
      <c r="I402" s="6">
        <v>30292</v>
      </c>
    </row>
    <row r="403" spans="2:9" x14ac:dyDescent="0.35">
      <c r="B403" s="21"/>
      <c r="C403" s="21"/>
      <c r="D403" s="4" t="s">
        <v>33</v>
      </c>
      <c r="E403" s="6">
        <v>36</v>
      </c>
      <c r="F403" s="6">
        <v>32</v>
      </c>
      <c r="G403" s="6">
        <v>37</v>
      </c>
      <c r="H403" s="6">
        <v>42</v>
      </c>
      <c r="I403" s="6">
        <v>38</v>
      </c>
    </row>
    <row r="404" spans="2:9" x14ac:dyDescent="0.35">
      <c r="B404" s="21"/>
      <c r="C404" s="21"/>
      <c r="D404" s="4" t="s">
        <v>34</v>
      </c>
      <c r="E404" s="6">
        <v>220423</v>
      </c>
      <c r="F404" s="6">
        <v>377762</v>
      </c>
      <c r="G404" s="6">
        <v>900518</v>
      </c>
      <c r="H404" s="6">
        <f>21044*60</f>
        <v>1262640</v>
      </c>
      <c r="I404" s="6">
        <f>19329*60</f>
        <v>1159740</v>
      </c>
    </row>
    <row r="405" spans="2:9" x14ac:dyDescent="0.35">
      <c r="B405" s="19" t="s">
        <v>81</v>
      </c>
      <c r="C405" s="19" t="s">
        <v>80</v>
      </c>
      <c r="D405" s="4" t="s">
        <v>32</v>
      </c>
      <c r="E405" s="6"/>
      <c r="F405" s="6">
        <v>1443</v>
      </c>
      <c r="G405" s="6">
        <v>5180</v>
      </c>
      <c r="H405" s="6">
        <v>7488</v>
      </c>
      <c r="I405" s="6">
        <v>9585</v>
      </c>
    </row>
    <row r="406" spans="2:9" x14ac:dyDescent="0.35">
      <c r="B406" s="19"/>
      <c r="C406" s="19"/>
      <c r="D406" s="4" t="s">
        <v>33</v>
      </c>
      <c r="E406" s="6"/>
      <c r="F406" s="6">
        <v>30</v>
      </c>
      <c r="G406" s="6">
        <v>38</v>
      </c>
      <c r="H406" s="6">
        <v>39</v>
      </c>
      <c r="I406" s="6">
        <v>38</v>
      </c>
    </row>
    <row r="407" spans="2:9" x14ac:dyDescent="0.35">
      <c r="B407" s="19"/>
      <c r="C407" s="19"/>
      <c r="D407" s="4" t="s">
        <v>34</v>
      </c>
      <c r="E407" s="6"/>
      <c r="F407" s="6">
        <v>43973</v>
      </c>
      <c r="G407" s="6">
        <v>198014</v>
      </c>
      <c r="H407" s="6">
        <f>4882*60</f>
        <v>292920</v>
      </c>
      <c r="I407" s="6">
        <f>6092*60</f>
        <v>365520</v>
      </c>
    </row>
    <row r="408" spans="2:9" x14ac:dyDescent="0.35">
      <c r="B408" s="20" t="s">
        <v>82</v>
      </c>
      <c r="C408" s="20" t="s">
        <v>83</v>
      </c>
      <c r="D408" s="4" t="s">
        <v>32</v>
      </c>
      <c r="E408" s="6">
        <v>772</v>
      </c>
      <c r="F408" s="6">
        <v>817</v>
      </c>
      <c r="G408" s="6">
        <v>1692</v>
      </c>
      <c r="H408" s="6">
        <v>2234</v>
      </c>
      <c r="I408" s="6">
        <v>3300</v>
      </c>
    </row>
    <row r="409" spans="2:9" x14ac:dyDescent="0.35">
      <c r="B409" s="21"/>
      <c r="C409" s="21"/>
      <c r="D409" s="4" t="s">
        <v>33</v>
      </c>
      <c r="E409" s="6">
        <v>50</v>
      </c>
      <c r="F409" s="6">
        <v>33</v>
      </c>
      <c r="G409" s="6">
        <v>25</v>
      </c>
      <c r="H409" s="6">
        <v>27</v>
      </c>
      <c r="I409" s="6">
        <v>44</v>
      </c>
    </row>
    <row r="410" spans="2:9" x14ac:dyDescent="0.35">
      <c r="B410" s="21"/>
      <c r="C410" s="21"/>
      <c r="D410" s="4" t="s">
        <v>34</v>
      </c>
      <c r="E410" s="6">
        <v>38561</v>
      </c>
      <c r="F410" s="6">
        <v>27007</v>
      </c>
      <c r="G410" s="6">
        <v>43102</v>
      </c>
      <c r="H410" s="6">
        <f>1017*60</f>
        <v>61020</v>
      </c>
      <c r="I410" s="6">
        <f>2412*60</f>
        <v>144720</v>
      </c>
    </row>
    <row r="411" spans="2:9" x14ac:dyDescent="0.35">
      <c r="B411" s="20" t="s">
        <v>84</v>
      </c>
      <c r="C411" s="20" t="s">
        <v>87</v>
      </c>
      <c r="D411" s="4" t="s">
        <v>32</v>
      </c>
      <c r="E411" s="6">
        <v>7765</v>
      </c>
      <c r="F411" s="6">
        <v>5754</v>
      </c>
      <c r="G411" s="6">
        <v>14581</v>
      </c>
      <c r="H411" s="6">
        <v>17573</v>
      </c>
      <c r="I411" s="6">
        <v>18671</v>
      </c>
    </row>
    <row r="412" spans="2:9" x14ac:dyDescent="0.35">
      <c r="B412" s="21"/>
      <c r="C412" s="21"/>
      <c r="D412" s="4" t="s">
        <v>33</v>
      </c>
      <c r="E412" s="6">
        <v>34</v>
      </c>
      <c r="F412" s="6">
        <v>33</v>
      </c>
      <c r="G412" s="6">
        <v>35</v>
      </c>
      <c r="H412" s="6">
        <v>37</v>
      </c>
      <c r="I412" s="6">
        <v>44</v>
      </c>
    </row>
    <row r="413" spans="2:9" x14ac:dyDescent="0.35">
      <c r="B413" s="21"/>
      <c r="C413" s="21"/>
      <c r="D413" s="4" t="s">
        <v>34</v>
      </c>
      <c r="E413" s="6">
        <v>267715</v>
      </c>
      <c r="F413" s="6">
        <v>189893</v>
      </c>
      <c r="G413" s="6">
        <v>517893</v>
      </c>
      <c r="H413" s="6">
        <f>10717*60</f>
        <v>643020</v>
      </c>
      <c r="I413" s="6">
        <f>13653*60</f>
        <v>819180</v>
      </c>
    </row>
    <row r="414" spans="2:9" x14ac:dyDescent="0.35">
      <c r="B414" s="20" t="s">
        <v>88</v>
      </c>
      <c r="C414" s="20" t="s">
        <v>89</v>
      </c>
      <c r="D414" s="4" t="s">
        <v>32</v>
      </c>
      <c r="E414" s="6">
        <v>3588</v>
      </c>
      <c r="F414" s="6">
        <v>3318</v>
      </c>
      <c r="G414" s="6">
        <v>8880</v>
      </c>
      <c r="H414" s="6">
        <v>10532</v>
      </c>
      <c r="I414" s="6">
        <v>11007</v>
      </c>
    </row>
    <row r="415" spans="2:9" x14ac:dyDescent="0.35">
      <c r="B415" s="21"/>
      <c r="C415" s="21"/>
      <c r="D415" s="4" t="s">
        <v>33</v>
      </c>
      <c r="E415" s="6">
        <v>32</v>
      </c>
      <c r="F415" s="6">
        <v>33</v>
      </c>
      <c r="G415" s="6">
        <v>41</v>
      </c>
      <c r="H415" s="6">
        <v>32</v>
      </c>
      <c r="I415" s="6">
        <v>31</v>
      </c>
    </row>
    <row r="416" spans="2:9" x14ac:dyDescent="0.35">
      <c r="B416" s="21"/>
      <c r="C416" s="21"/>
      <c r="D416" s="4" t="s">
        <v>34</v>
      </c>
      <c r="E416" s="6">
        <v>115986</v>
      </c>
      <c r="F416" s="6">
        <v>111102</v>
      </c>
      <c r="G416" s="6">
        <v>364948</v>
      </c>
      <c r="H416" s="6">
        <f>5549*60</f>
        <v>332940</v>
      </c>
      <c r="I416" s="6">
        <f>5756*60</f>
        <v>345360</v>
      </c>
    </row>
    <row r="418" spans="3:9" x14ac:dyDescent="0.35">
      <c r="C418" s="3" t="s">
        <v>25</v>
      </c>
      <c r="D418" s="4" t="s">
        <v>32</v>
      </c>
      <c r="E418" s="8">
        <f>+E396+E402+E408+E411+E414+E405</f>
        <v>32818</v>
      </c>
      <c r="F418" s="8">
        <f>+F396+F402+F408+F411+F414+F405</f>
        <v>37161</v>
      </c>
      <c r="G418" s="8">
        <f>+G396+G402+G408+G411+G414+G405</f>
        <v>86989</v>
      </c>
      <c r="H418" s="8">
        <f>+H396+H402+H408+H411+H414+H405</f>
        <v>101706</v>
      </c>
      <c r="I418" s="8">
        <f>+I396+I402+I408+I411+I414+I405</f>
        <v>107990</v>
      </c>
    </row>
    <row r="419" spans="3:9" x14ac:dyDescent="0.35">
      <c r="D419" s="4" t="s">
        <v>33</v>
      </c>
      <c r="E419" s="8">
        <f>+E420/E418</f>
        <v>33.574928392955087</v>
      </c>
      <c r="F419" s="8">
        <f>+F420/F418</f>
        <v>33.401872931298939</v>
      </c>
      <c r="G419" s="8">
        <f>+G420/G418</f>
        <v>37.202232466173882</v>
      </c>
      <c r="H419" s="8">
        <f>+H420/H418</f>
        <v>36.808447879181166</v>
      </c>
      <c r="I419" s="8">
        <f>+I420/I418</f>
        <v>37.370126863598479</v>
      </c>
    </row>
    <row r="420" spans="3:9" x14ac:dyDescent="0.35">
      <c r="D420" s="4" t="s">
        <v>34</v>
      </c>
      <c r="E420" s="8">
        <f>+E398+E404+E410+E413+E416+E407</f>
        <v>1101862</v>
      </c>
      <c r="F420" s="8">
        <f>+F398+F404+F410+F413+F416+F407</f>
        <v>1241247</v>
      </c>
      <c r="G420" s="8">
        <f>+G398+G404+G410+G413+G416+G407</f>
        <v>3236185</v>
      </c>
      <c r="H420" s="8">
        <f>+H398+H404+H410+H413+H416+H407</f>
        <v>3743640</v>
      </c>
      <c r="I420" s="8">
        <f>+I398+I404+I410+I413+I416+I407</f>
        <v>4035600</v>
      </c>
    </row>
  </sheetData>
  <mergeCells count="195">
    <mergeCell ref="K1:L1"/>
    <mergeCell ref="B31:B33"/>
    <mergeCell ref="C31:C33"/>
    <mergeCell ref="B34:B36"/>
    <mergeCell ref="C34:C36"/>
    <mergeCell ref="B327:B328"/>
    <mergeCell ref="B332:B333"/>
    <mergeCell ref="A327:A334"/>
    <mergeCell ref="A2:A9"/>
    <mergeCell ref="B105:B107"/>
    <mergeCell ref="A102:A108"/>
    <mergeCell ref="B193:B194"/>
    <mergeCell ref="A192:A194"/>
    <mergeCell ref="B250:B252"/>
    <mergeCell ref="A247:A252"/>
    <mergeCell ref="B37:B39"/>
    <mergeCell ref="B49:B50"/>
    <mergeCell ref="B57:B58"/>
    <mergeCell ref="B16:B18"/>
    <mergeCell ref="C16:C18"/>
    <mergeCell ref="B19:B21"/>
    <mergeCell ref="C19:C21"/>
    <mergeCell ref="B22:B24"/>
    <mergeCell ref="C22:C24"/>
    <mergeCell ref="B25:B27"/>
    <mergeCell ref="C25:C27"/>
    <mergeCell ref="B28:B30"/>
    <mergeCell ref="C28:C30"/>
    <mergeCell ref="B75:B77"/>
    <mergeCell ref="C75:C77"/>
    <mergeCell ref="B78:B80"/>
    <mergeCell ref="C78:C80"/>
    <mergeCell ref="B15:D15"/>
    <mergeCell ref="B48:D48"/>
    <mergeCell ref="B72:B74"/>
    <mergeCell ref="C72:C74"/>
    <mergeCell ref="B71:D71"/>
    <mergeCell ref="C57:C58"/>
    <mergeCell ref="B59:B60"/>
    <mergeCell ref="C59:C60"/>
    <mergeCell ref="B61:B62"/>
    <mergeCell ref="C61:C62"/>
    <mergeCell ref="B63:B64"/>
    <mergeCell ref="C63:C64"/>
    <mergeCell ref="C49:C50"/>
    <mergeCell ref="B51:B52"/>
    <mergeCell ref="C51:C52"/>
    <mergeCell ref="B53:B54"/>
    <mergeCell ref="C53:C54"/>
    <mergeCell ref="B55:B56"/>
    <mergeCell ref="C55:C56"/>
    <mergeCell ref="C37:C39"/>
    <mergeCell ref="B81:B83"/>
    <mergeCell ref="C81:C83"/>
    <mergeCell ref="B84:B86"/>
    <mergeCell ref="C84:C86"/>
    <mergeCell ref="B87:B89"/>
    <mergeCell ref="C87:C89"/>
    <mergeCell ref="B90:B92"/>
    <mergeCell ref="C90:C92"/>
    <mergeCell ref="B93:B95"/>
    <mergeCell ref="C93:C95"/>
    <mergeCell ref="B133:B135"/>
    <mergeCell ref="C133:C135"/>
    <mergeCell ref="B114:D114"/>
    <mergeCell ref="B145:B146"/>
    <mergeCell ref="C145:C146"/>
    <mergeCell ref="B121:B123"/>
    <mergeCell ref="C121:C123"/>
    <mergeCell ref="B124:B132"/>
    <mergeCell ref="C124:C126"/>
    <mergeCell ref="C127:C129"/>
    <mergeCell ref="C130:C132"/>
    <mergeCell ref="B115:B117"/>
    <mergeCell ref="C115:C117"/>
    <mergeCell ref="B118:B120"/>
    <mergeCell ref="C118:C120"/>
    <mergeCell ref="B174:B182"/>
    <mergeCell ref="C174:C176"/>
    <mergeCell ref="C177:C179"/>
    <mergeCell ref="C180:C182"/>
    <mergeCell ref="B183:B185"/>
    <mergeCell ref="C183:C185"/>
    <mergeCell ref="B159:B160"/>
    <mergeCell ref="C159:C160"/>
    <mergeCell ref="B144:D144"/>
    <mergeCell ref="B168:B170"/>
    <mergeCell ref="C168:C170"/>
    <mergeCell ref="B171:B173"/>
    <mergeCell ref="C171:C173"/>
    <mergeCell ref="B167:D167"/>
    <mergeCell ref="B149:B150"/>
    <mergeCell ref="C149:C150"/>
    <mergeCell ref="B153:B158"/>
    <mergeCell ref="C153:C154"/>
    <mergeCell ref="C155:C156"/>
    <mergeCell ref="C157:C158"/>
    <mergeCell ref="B147:B148"/>
    <mergeCell ref="C147:C148"/>
    <mergeCell ref="B232:B234"/>
    <mergeCell ref="C232:C234"/>
    <mergeCell ref="B235:B240"/>
    <mergeCell ref="C235:C237"/>
    <mergeCell ref="C238:C240"/>
    <mergeCell ref="B231:D231"/>
    <mergeCell ref="B200:D200"/>
    <mergeCell ref="B219:B220"/>
    <mergeCell ref="C219:C220"/>
    <mergeCell ref="B221:B224"/>
    <mergeCell ref="C221:C222"/>
    <mergeCell ref="C223:C224"/>
    <mergeCell ref="B218:D218"/>
    <mergeCell ref="B201:B203"/>
    <mergeCell ref="C201:C203"/>
    <mergeCell ref="B204:B209"/>
    <mergeCell ref="C204:C206"/>
    <mergeCell ref="C207:C209"/>
    <mergeCell ref="B268:B279"/>
    <mergeCell ref="C268:C270"/>
    <mergeCell ref="C271:C273"/>
    <mergeCell ref="C274:C276"/>
    <mergeCell ref="C277:C279"/>
    <mergeCell ref="B258:D258"/>
    <mergeCell ref="B259:B261"/>
    <mergeCell ref="C259:C261"/>
    <mergeCell ref="B262:B264"/>
    <mergeCell ref="C262:C264"/>
    <mergeCell ref="B265:B267"/>
    <mergeCell ref="C265:C267"/>
    <mergeCell ref="B295:B298"/>
    <mergeCell ref="C295:C296"/>
    <mergeCell ref="C297:C298"/>
    <mergeCell ref="B288:D288"/>
    <mergeCell ref="B306:B308"/>
    <mergeCell ref="C306:C308"/>
    <mergeCell ref="B305:D305"/>
    <mergeCell ref="B289:B290"/>
    <mergeCell ref="C289:C290"/>
    <mergeCell ref="B291:B292"/>
    <mergeCell ref="C291:C292"/>
    <mergeCell ref="B293:B294"/>
    <mergeCell ref="C293:C294"/>
    <mergeCell ref="B309:B311"/>
    <mergeCell ref="C309:C311"/>
    <mergeCell ref="B312:B314"/>
    <mergeCell ref="C312:C314"/>
    <mergeCell ref="B315:B320"/>
    <mergeCell ref="C315:C317"/>
    <mergeCell ref="C318:C320"/>
    <mergeCell ref="C350:C352"/>
    <mergeCell ref="B347:B352"/>
    <mergeCell ref="B365:B367"/>
    <mergeCell ref="C365:C367"/>
    <mergeCell ref="B340:D340"/>
    <mergeCell ref="B377:B378"/>
    <mergeCell ref="C377:C378"/>
    <mergeCell ref="B381:B382"/>
    <mergeCell ref="C381:C382"/>
    <mergeCell ref="B376:D376"/>
    <mergeCell ref="B356:B361"/>
    <mergeCell ref="C356:C358"/>
    <mergeCell ref="C359:C361"/>
    <mergeCell ref="B362:B364"/>
    <mergeCell ref="C362:C364"/>
    <mergeCell ref="B341:B346"/>
    <mergeCell ref="C341:C343"/>
    <mergeCell ref="C344:C346"/>
    <mergeCell ref="C347:C349"/>
    <mergeCell ref="B353:B355"/>
    <mergeCell ref="C353:C355"/>
    <mergeCell ref="B379:B380"/>
    <mergeCell ref="C379:C380"/>
    <mergeCell ref="B383:B384"/>
    <mergeCell ref="C383:C384"/>
    <mergeCell ref="B405:B407"/>
    <mergeCell ref="C405:C407"/>
    <mergeCell ref="B411:B413"/>
    <mergeCell ref="C411:C413"/>
    <mergeCell ref="B414:B416"/>
    <mergeCell ref="C414:C416"/>
    <mergeCell ref="B395:D395"/>
    <mergeCell ref="B396:B398"/>
    <mergeCell ref="C396:C398"/>
    <mergeCell ref="B402:B404"/>
    <mergeCell ref="C402:C404"/>
    <mergeCell ref="B408:B410"/>
    <mergeCell ref="C408:C410"/>
    <mergeCell ref="B385:B386"/>
    <mergeCell ref="C385:C386"/>
    <mergeCell ref="B387:B388"/>
    <mergeCell ref="C387:C388"/>
    <mergeCell ref="B389:B390"/>
    <mergeCell ref="C389:C390"/>
    <mergeCell ref="B399:B401"/>
    <mergeCell ref="C399:C401"/>
  </mergeCells>
  <pageMargins left="0.7" right="0.7" top="0.75" bottom="0.75" header="0.3" footer="0.3"/>
  <pageSetup orientation="portrait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Definitions</vt:lpstr>
      <vt:lpstr>County Details</vt:lpstr>
    </vt:vector>
  </TitlesOfParts>
  <Manager/>
  <Company>TRL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Williams</dc:creator>
  <cp:keywords/>
  <dc:description/>
  <cp:lastModifiedBy>Ryan Williams</cp:lastModifiedBy>
  <cp:revision/>
  <dcterms:created xsi:type="dcterms:W3CDTF">2019-10-05T21:43:35Z</dcterms:created>
  <dcterms:modified xsi:type="dcterms:W3CDTF">2025-02-15T21:49:13Z</dcterms:modified>
  <cp:category/>
  <cp:contentStatus/>
</cp:coreProperties>
</file>